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10" windowHeight="11010" tabRatio="131" activeTab="0"/>
  </bookViews>
  <sheets>
    <sheet name="an 2023" sheetId="1" r:id="rId1"/>
    <sheet name="Sheet1" sheetId="2" r:id="rId2"/>
  </sheets>
  <definedNames>
    <definedName name="_xlnm.Print_Area" localSheetId="0">'an 2023'!$A$1:$X$58</definedName>
    <definedName name="_xlnm.Print_Titles" localSheetId="0">'an 2023'!$6:$7</definedName>
  </definedNames>
  <calcPr fullCalcOnLoad="1"/>
</workbook>
</file>

<file path=xl/sharedStrings.xml><?xml version="1.0" encoding="utf-8"?>
<sst xmlns="http://schemas.openxmlformats.org/spreadsheetml/2006/main" count="136" uniqueCount="78">
  <si>
    <t xml:space="preserve">Nr. medici spec </t>
  </si>
  <si>
    <t>Specialitate</t>
  </si>
  <si>
    <t>Alergologie şi imunologie clinică</t>
  </si>
  <si>
    <t>Anestezie şi terapie intensivă</t>
  </si>
  <si>
    <t>Boli infecţioase</t>
  </si>
  <si>
    <t>Cardiologie pediatrică</t>
  </si>
  <si>
    <t>Chirurgie cardiovasculară</t>
  </si>
  <si>
    <t>Chirurgie orală şi maxilo-facială</t>
  </si>
  <si>
    <t>Chirurgie pediatrică</t>
  </si>
  <si>
    <t>Chirurgie plastică, estetică şi microchirurgie reconstructivă</t>
  </si>
  <si>
    <t>Chirurgie toracică</t>
  </si>
  <si>
    <t>Chirurgie vasculară</t>
  </si>
  <si>
    <t>Diabet zaharat, nutriţie şi boli metabolice</t>
  </si>
  <si>
    <t>Gastroenterologie pediatrică</t>
  </si>
  <si>
    <t>Genetică medicală</t>
  </si>
  <si>
    <t>Geriatrie şi gerontologie</t>
  </si>
  <si>
    <t>Hematologie</t>
  </si>
  <si>
    <t>Nefrologie</t>
  </si>
  <si>
    <t>Nefrologie pediatrică</t>
  </si>
  <si>
    <t>Neurochirurgie</t>
  </si>
  <si>
    <t>Oncologie medicală</t>
  </si>
  <si>
    <t>Oncologie şi hematologie pediatrică</t>
  </si>
  <si>
    <t>Otorinolaringologie</t>
  </si>
  <si>
    <t>Ortopedie şi traumatologie</t>
  </si>
  <si>
    <t>Ortopedie pediatrică</t>
  </si>
  <si>
    <t>Pneumologie pediatrică</t>
  </si>
  <si>
    <t xml:space="preserve">Cardiologie   </t>
  </si>
  <si>
    <t>Chirurgie generala</t>
  </si>
  <si>
    <t>Dermatovenerologie</t>
  </si>
  <si>
    <t>Endocrinologie</t>
  </si>
  <si>
    <t xml:space="preserve">Gastroenterologie </t>
  </si>
  <si>
    <t>Medicina interna</t>
  </si>
  <si>
    <t>Neonatologie</t>
  </si>
  <si>
    <t xml:space="preserve">Neurologie   </t>
  </si>
  <si>
    <t>Neurologie pediatrica</t>
  </si>
  <si>
    <t>Obstetrica-ginecologie</t>
  </si>
  <si>
    <t>Oftalmologie</t>
  </si>
  <si>
    <t>Pediatrie</t>
  </si>
  <si>
    <t>Planificare familiala</t>
  </si>
  <si>
    <t xml:space="preserve">Pneumologie   </t>
  </si>
  <si>
    <t xml:space="preserve">Psihiatrie   </t>
  </si>
  <si>
    <t>Psihiatrie pediatrica</t>
  </si>
  <si>
    <t>Radioterapie</t>
  </si>
  <si>
    <t>Reumatologie</t>
  </si>
  <si>
    <t>Urologie</t>
  </si>
  <si>
    <t>TOTAL GENERAL</t>
  </si>
  <si>
    <t>Neuropsihiatrie infantila</t>
  </si>
  <si>
    <t>AMBULATORII CLINICE PRIVATE</t>
  </si>
  <si>
    <t>CASA DE ASIGURĂRI DE SĂNĂTATE IAȘI</t>
  </si>
  <si>
    <t>AMBULATORII CLINICE DE SPITAL</t>
  </si>
  <si>
    <t>Necesar număr norme</t>
  </si>
  <si>
    <t>Nr. crt.</t>
  </si>
  <si>
    <t>Nr. norme primari</t>
  </si>
  <si>
    <t>Nr. norme spec.</t>
  </si>
  <si>
    <t>Nr. medici primari</t>
  </si>
  <si>
    <t>Nr. Norme</t>
  </si>
  <si>
    <t>Nr. medici</t>
  </si>
  <si>
    <t>Populație asigurată județ Iași</t>
  </si>
  <si>
    <t>Nr locuitori standard</t>
  </si>
  <si>
    <t>DIRECTOR RELAȚII CONTRACTUALE</t>
  </si>
  <si>
    <t>Sabina BUTNARU</t>
  </si>
  <si>
    <t>Întocmit</t>
  </si>
  <si>
    <t>Alina BRIȘCARU</t>
  </si>
  <si>
    <t>COMISIA MIXTĂ</t>
  </si>
  <si>
    <t>Recuperare si reabilitare</t>
  </si>
  <si>
    <t>ȘEF SERVICIU EVALUARE CONTRACTARE</t>
  </si>
  <si>
    <t>Bianca TOPALĂ</t>
  </si>
  <si>
    <t>TOTAL AMBULATORII CLINICE                          2023</t>
  </si>
  <si>
    <t>Îngrijiri paliative</t>
  </si>
  <si>
    <t>Furnizor</t>
  </si>
  <si>
    <t>Medici</t>
  </si>
  <si>
    <t>Program</t>
  </si>
  <si>
    <t>Norma</t>
  </si>
  <si>
    <t>P</t>
  </si>
  <si>
    <t>S</t>
  </si>
  <si>
    <t>Necesar suplimentar</t>
  </si>
  <si>
    <t>CENTRALIZARE NORME SPECIALITĂȚI CLINICE PENTRU CARE SE ÎNCHEIE CONTRACT DE FURNIZARE SERVICII MEDICALE ÎN AMBULATORIU DE SPECIALITATE  LA DATA DE  15.04.2024</t>
  </si>
  <si>
    <t>TOTAL GENERAL iunie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</si>
</sst>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R_O_N_-;\-* #,##0.00\ _R_O_N_-;_-* &quot;-&quot;??\ _R_O_N_-;_-@_-"/>
    <numFmt numFmtId="165" formatCode="_-* #,##0\ _R_O_N_-;\-* #,##0\ _R_O_N_-;_-* &quot;-&quot;\ _R_O_N_-;_-@_-"/>
    <numFmt numFmtId="166" formatCode="_-* #,##0.00\ &quot;RON&quot;_-;\-* #,##0.00\ &quot;RON&quot;_-;_-* &quot;-&quot;??\ &quot;RON&quot;_-;_-@_-"/>
    <numFmt numFmtId="167" formatCode="_-* #,##0\ &quot;RON&quot;_-;\-* #,##0\ &quot;RON&quot;_-;_-* &quot;-&quot;\ &quot;RON&quot;_-;_-@_-"/>
    <numFmt numFmtId="168" formatCode="0.000"/>
    <numFmt numFmtId="169" formatCode="#,##0.00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#,##0.00000"/>
    <numFmt numFmtId="177" formatCode="#,##0.000000"/>
    <numFmt numFmtId="178" formatCode="#,##0.0000000"/>
    <numFmt numFmtId="179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4" fontId="0" fillId="0" borderId="11" xfId="57" applyNumberFormat="1" applyFont="1" applyFill="1" applyBorder="1" applyAlignment="1">
      <alignment horizontal="center" vertical="center" wrapText="1"/>
      <protection/>
    </xf>
    <xf numFmtId="168" fontId="0" fillId="0" borderId="11" xfId="57" applyNumberFormat="1" applyFont="1" applyFill="1" applyBorder="1" applyAlignment="1">
      <alignment horizontal="center" vertical="center" wrapText="1"/>
      <protection/>
    </xf>
    <xf numFmtId="168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3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4" fontId="18" fillId="0" borderId="14" xfId="57" applyNumberFormat="1" applyFont="1" applyFill="1" applyBorder="1" applyAlignment="1">
      <alignment horizontal="center" vertical="center" wrapText="1"/>
      <protection/>
    </xf>
    <xf numFmtId="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8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 wrapText="1"/>
      <protection/>
    </xf>
    <xf numFmtId="168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5" xfId="57" applyFont="1" applyFill="1" applyBorder="1" applyAlignment="1">
      <alignment horizontal="center" vertical="center" wrapText="1"/>
      <protection/>
    </xf>
    <xf numFmtId="0" fontId="18" fillId="0" borderId="16" xfId="57" applyFont="1" applyFill="1" applyBorder="1" applyAlignment="1">
      <alignment horizontal="center" vertical="center" wrapText="1"/>
      <protection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2" xfId="57" applyFont="1" applyFill="1" applyBorder="1" applyAlignment="1">
      <alignment horizontal="center" vertical="center" wrapText="1"/>
      <protection/>
    </xf>
    <xf numFmtId="168" fontId="18" fillId="0" borderId="12" xfId="57" applyNumberFormat="1" applyFont="1" applyFill="1" applyBorder="1" applyAlignment="1">
      <alignment horizontal="center" vertical="center" wrapText="1"/>
      <protection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4" fontId="0" fillId="0" borderId="0" xfId="57" applyNumberFormat="1" applyFont="1" applyFill="1" applyAlignment="1">
      <alignment horizontal="center" vertical="center" wrapText="1"/>
      <protection/>
    </xf>
    <xf numFmtId="0" fontId="22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 wrapText="1"/>
    </xf>
    <xf numFmtId="0" fontId="20" fillId="0" borderId="0" xfId="57" applyFont="1" applyFill="1" applyAlignment="1">
      <alignment horizontal="left" vertical="center" wrapText="1"/>
      <protection/>
    </xf>
    <xf numFmtId="0" fontId="18" fillId="0" borderId="0" xfId="57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center" vertical="center"/>
      <protection/>
    </xf>
    <xf numFmtId="168" fontId="1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" fontId="0" fillId="0" borderId="21" xfId="57" applyNumberFormat="1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4" fontId="27" fillId="0" borderId="11" xfId="57" applyNumberFormat="1" applyFont="1" applyFill="1" applyBorder="1" applyAlignment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0" fontId="28" fillId="0" borderId="12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left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4" fontId="0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40" fontId="0" fillId="0" borderId="22" xfId="0" applyNumberFormat="1" applyFont="1" applyFill="1" applyBorder="1" applyAlignment="1">
      <alignment horizontal="center" vertical="center" wrapText="1"/>
    </xf>
    <xf numFmtId="0" fontId="18" fillId="0" borderId="0" xfId="57" applyFont="1" applyFill="1" applyBorder="1" applyAlignment="1">
      <alignment horizontal="center" vertical="center" wrapText="1"/>
      <protection/>
    </xf>
    <xf numFmtId="4" fontId="18" fillId="0" borderId="0" xfId="57" applyNumberFormat="1" applyFont="1" applyFill="1" applyBorder="1" applyAlignment="1">
      <alignment horizontal="center" vertical="center" wrapText="1"/>
      <protection/>
    </xf>
    <xf numFmtId="4" fontId="19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57" applyFont="1" applyFill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18" fillId="24" borderId="16" xfId="57" applyFont="1" applyFill="1" applyBorder="1" applyAlignment="1">
      <alignment horizontal="center" vertical="center" wrapText="1"/>
      <protection/>
    </xf>
    <xf numFmtId="0" fontId="18" fillId="25" borderId="16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18" fillId="27" borderId="13" xfId="57" applyFont="1" applyFill="1" applyBorder="1" applyAlignment="1">
      <alignment horizontal="center" vertical="center" wrapText="1"/>
      <protection/>
    </xf>
    <xf numFmtId="0" fontId="18" fillId="27" borderId="14" xfId="57" applyFont="1" applyFill="1" applyBorder="1" applyAlignment="1">
      <alignment horizontal="center" vertical="center" wrapText="1"/>
      <protection/>
    </xf>
    <xf numFmtId="4" fontId="18" fillId="27" borderId="14" xfId="57" applyNumberFormat="1" applyFont="1" applyFill="1" applyBorder="1" applyAlignment="1">
      <alignment horizontal="center" vertical="center" wrapText="1"/>
      <protection/>
    </xf>
    <xf numFmtId="4" fontId="19" fillId="27" borderId="14" xfId="0" applyNumberFormat="1" applyFont="1" applyFill="1" applyBorder="1" applyAlignment="1">
      <alignment horizontal="center" vertical="center" wrapText="1"/>
    </xf>
    <xf numFmtId="4" fontId="18" fillId="27" borderId="14" xfId="0" applyNumberFormat="1" applyFont="1" applyFill="1" applyBorder="1" applyAlignment="1">
      <alignment horizontal="center" vertical="center" wrapText="1"/>
    </xf>
    <xf numFmtId="40" fontId="18" fillId="27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="124" zoomScaleNormal="124" zoomScalePageLayoutView="0" workbookViewId="0" topLeftCell="A1">
      <pane ySplit="7" topLeftCell="A8" activePane="bottomLeft" state="frozen"/>
      <selection pane="topLeft" activeCell="A1" sqref="A1"/>
      <selection pane="bottomLeft" activeCell="U56" sqref="U56"/>
    </sheetView>
  </sheetViews>
  <sheetFormatPr defaultColWidth="9.140625" defaultRowHeight="12.75"/>
  <cols>
    <col min="1" max="1" width="4.28125" style="16" customWidth="1"/>
    <col min="2" max="2" width="28.421875" style="16" customWidth="1"/>
    <col min="3" max="3" width="7.140625" style="16" customWidth="1"/>
    <col min="4" max="4" width="8.00390625" style="16" customWidth="1"/>
    <col min="5" max="5" width="7.421875" style="16" customWidth="1"/>
    <col min="6" max="6" width="7.57421875" style="16" customWidth="1"/>
    <col min="7" max="7" width="9.00390625" style="16" customWidth="1"/>
    <col min="8" max="8" width="8.140625" style="16" customWidth="1"/>
    <col min="9" max="9" width="7.8515625" style="17" customWidth="1"/>
    <col min="10" max="10" width="7.00390625" style="17" customWidth="1"/>
    <col min="11" max="11" width="7.421875" style="16" customWidth="1"/>
    <col min="12" max="12" width="6.8515625" style="16" customWidth="1"/>
    <col min="13" max="13" width="7.28125" style="16" customWidth="1"/>
    <col min="14" max="14" width="7.00390625" style="16" customWidth="1"/>
    <col min="15" max="15" width="7.7109375" style="16" customWidth="1"/>
    <col min="16" max="16" width="7.421875" style="16" customWidth="1"/>
    <col min="17" max="17" width="7.00390625" style="16" customWidth="1"/>
    <col min="18" max="18" width="7.28125" style="16" customWidth="1"/>
    <col min="19" max="19" width="7.57421875" style="18" customWidth="1"/>
    <col min="20" max="20" width="8.421875" style="16" customWidth="1"/>
    <col min="21" max="21" width="9.421875" style="16" customWidth="1"/>
    <col min="22" max="22" width="9.28125" style="16" customWidth="1"/>
    <col min="23" max="23" width="9.421875" style="36" customWidth="1"/>
    <col min="24" max="24" width="11.7109375" style="16" customWidth="1"/>
    <col min="25" max="16384" width="9.140625" style="16" customWidth="1"/>
  </cols>
  <sheetData>
    <row r="1" spans="1:5" ht="12.75" customHeight="1">
      <c r="A1" s="54" t="s">
        <v>48</v>
      </c>
      <c r="B1" s="54"/>
      <c r="C1" s="54"/>
      <c r="D1" s="54"/>
      <c r="E1" s="54"/>
    </row>
    <row r="2" spans="1:2" ht="12.75" customHeight="1">
      <c r="A2" s="54" t="s">
        <v>63</v>
      </c>
      <c r="B2" s="54"/>
    </row>
    <row r="4" spans="1:23" ht="24.75" customHeight="1">
      <c r="A4" s="73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12" ht="13.5" thickBot="1">
      <c r="A5" s="20"/>
      <c r="B5" s="19"/>
      <c r="G5" s="20"/>
      <c r="H5" s="20"/>
      <c r="J5" s="21"/>
      <c r="K5" s="22"/>
      <c r="L5" s="23"/>
    </row>
    <row r="6" spans="1:24" s="15" customFormat="1" ht="36" customHeight="1" thickBot="1">
      <c r="A6" s="24"/>
      <c r="B6" s="25"/>
      <c r="C6" s="75" t="s">
        <v>47</v>
      </c>
      <c r="D6" s="75"/>
      <c r="E6" s="75"/>
      <c r="F6" s="75"/>
      <c r="G6" s="75"/>
      <c r="H6" s="75"/>
      <c r="I6" s="76" t="s">
        <v>49</v>
      </c>
      <c r="J6" s="76"/>
      <c r="K6" s="76"/>
      <c r="L6" s="76"/>
      <c r="M6" s="76"/>
      <c r="N6" s="76"/>
      <c r="O6" s="77" t="s">
        <v>67</v>
      </c>
      <c r="P6" s="77"/>
      <c r="Q6" s="77"/>
      <c r="R6" s="77"/>
      <c r="S6" s="77"/>
      <c r="T6" s="77"/>
      <c r="U6" s="26"/>
      <c r="V6" s="27"/>
      <c r="W6" s="78" t="s">
        <v>50</v>
      </c>
      <c r="X6" s="71" t="s">
        <v>75</v>
      </c>
    </row>
    <row r="7" spans="1:24" s="15" customFormat="1" ht="51.75" customHeight="1">
      <c r="A7" s="28" t="s">
        <v>51</v>
      </c>
      <c r="B7" s="29" t="s">
        <v>1</v>
      </c>
      <c r="C7" s="29" t="s">
        <v>52</v>
      </c>
      <c r="D7" s="29" t="s">
        <v>53</v>
      </c>
      <c r="E7" s="29" t="s">
        <v>54</v>
      </c>
      <c r="F7" s="29" t="s">
        <v>0</v>
      </c>
      <c r="G7" s="49" t="s">
        <v>55</v>
      </c>
      <c r="H7" s="49" t="s">
        <v>56</v>
      </c>
      <c r="I7" s="30" t="s">
        <v>52</v>
      </c>
      <c r="J7" s="30" t="s">
        <v>53</v>
      </c>
      <c r="K7" s="29" t="s">
        <v>54</v>
      </c>
      <c r="L7" s="29" t="s">
        <v>0</v>
      </c>
      <c r="M7" s="49" t="s">
        <v>55</v>
      </c>
      <c r="N7" s="49" t="s">
        <v>56</v>
      </c>
      <c r="O7" s="30" t="s">
        <v>52</v>
      </c>
      <c r="P7" s="30" t="s">
        <v>53</v>
      </c>
      <c r="Q7" s="29" t="s">
        <v>54</v>
      </c>
      <c r="R7" s="29" t="s">
        <v>0</v>
      </c>
      <c r="S7" s="49" t="s">
        <v>55</v>
      </c>
      <c r="T7" s="49" t="s">
        <v>56</v>
      </c>
      <c r="U7" s="31" t="s">
        <v>57</v>
      </c>
      <c r="V7" s="32" t="s">
        <v>58</v>
      </c>
      <c r="W7" s="79"/>
      <c r="X7" s="72"/>
    </row>
    <row r="8" spans="1:24" ht="13.5" customHeight="1">
      <c r="A8" s="1">
        <v>1</v>
      </c>
      <c r="B8" s="50" t="s">
        <v>2</v>
      </c>
      <c r="C8" s="3">
        <v>2.5</v>
      </c>
      <c r="D8" s="3">
        <f>4.5+0.5+0.5</f>
        <v>5.5</v>
      </c>
      <c r="E8" s="3">
        <v>3</v>
      </c>
      <c r="F8" s="3">
        <v>7</v>
      </c>
      <c r="G8" s="47">
        <f>C8+D8</f>
        <v>8</v>
      </c>
      <c r="H8" s="47">
        <f>E8+F8</f>
        <v>10</v>
      </c>
      <c r="I8" s="52">
        <f>0.68+0.2+0.2</f>
        <v>1.08</v>
      </c>
      <c r="J8" s="3">
        <f>0.31+1+0.86</f>
        <v>2.17</v>
      </c>
      <c r="K8" s="3">
        <f>2+1+1</f>
        <v>4</v>
      </c>
      <c r="L8" s="3">
        <f>1+1+2</f>
        <v>4</v>
      </c>
      <c r="M8" s="47">
        <f>I8+J8</f>
        <v>3.25</v>
      </c>
      <c r="N8" s="47">
        <f>K8+L8</f>
        <v>8</v>
      </c>
      <c r="O8" s="6">
        <f aca="true" t="shared" si="0" ref="O8:T8">C8+I8</f>
        <v>3.58</v>
      </c>
      <c r="P8" s="6">
        <f t="shared" si="0"/>
        <v>7.67</v>
      </c>
      <c r="Q8" s="6">
        <f t="shared" si="0"/>
        <v>7</v>
      </c>
      <c r="R8" s="6">
        <f t="shared" si="0"/>
        <v>11</v>
      </c>
      <c r="S8" s="48">
        <f t="shared" si="0"/>
        <v>11.25</v>
      </c>
      <c r="T8" s="48">
        <f t="shared" si="0"/>
        <v>18</v>
      </c>
      <c r="U8" s="53">
        <v>690306</v>
      </c>
      <c r="V8" s="37">
        <v>50000</v>
      </c>
      <c r="W8" s="65">
        <f>ROUND($U$8/V8,2)</f>
        <v>13.81</v>
      </c>
      <c r="X8" s="66">
        <f aca="true" t="shared" si="1" ref="X8:X53">+W8-S8</f>
        <v>2.5600000000000005</v>
      </c>
    </row>
    <row r="9" spans="1:24" ht="12.75" customHeight="1">
      <c r="A9" s="1">
        <f>+A8+1</f>
        <v>2</v>
      </c>
      <c r="B9" s="50" t="s">
        <v>3</v>
      </c>
      <c r="C9" s="3">
        <v>0</v>
      </c>
      <c r="D9" s="3">
        <v>0</v>
      </c>
      <c r="E9" s="3">
        <v>0</v>
      </c>
      <c r="F9" s="3">
        <v>0</v>
      </c>
      <c r="G9" s="47">
        <f aca="true" t="shared" si="2" ref="G9:G49">C9+D9</f>
        <v>0</v>
      </c>
      <c r="H9" s="47">
        <f aca="true" t="shared" si="3" ref="H9:H49">E9+F9</f>
        <v>0</v>
      </c>
      <c r="I9" s="3"/>
      <c r="J9" s="3">
        <v>0.8571428571428571</v>
      </c>
      <c r="K9" s="3"/>
      <c r="L9" s="3">
        <v>2</v>
      </c>
      <c r="M9" s="47">
        <f aca="true" t="shared" si="4" ref="M9:M50">I9+J9</f>
        <v>0.8571428571428571</v>
      </c>
      <c r="N9" s="47">
        <f aca="true" t="shared" si="5" ref="N9:N50">K9+L9</f>
        <v>2</v>
      </c>
      <c r="O9" s="6">
        <f aca="true" t="shared" si="6" ref="O9:O49">C9+I9</f>
        <v>0</v>
      </c>
      <c r="P9" s="6">
        <f aca="true" t="shared" si="7" ref="P9:P49">D9+J9</f>
        <v>0.8571428571428571</v>
      </c>
      <c r="Q9" s="6">
        <f aca="true" t="shared" si="8" ref="Q9:Q49">E9+K9</f>
        <v>0</v>
      </c>
      <c r="R9" s="6">
        <f aca="true" t="shared" si="9" ref="R9:R49">F9+L9</f>
        <v>2</v>
      </c>
      <c r="S9" s="48">
        <f aca="true" t="shared" si="10" ref="S9:S49">G9+M9</f>
        <v>0.8571428571428571</v>
      </c>
      <c r="T9" s="48">
        <f aca="true" t="shared" si="11" ref="T9:T50">H9+N9</f>
        <v>2</v>
      </c>
      <c r="U9" s="7"/>
      <c r="V9" s="38">
        <v>50000</v>
      </c>
      <c r="W9" s="65">
        <f aca="true" t="shared" si="12" ref="W9:W53">ROUND($U$8/V9,2)</f>
        <v>13.81</v>
      </c>
      <c r="X9" s="66">
        <f t="shared" si="1"/>
        <v>12.952857142857143</v>
      </c>
    </row>
    <row r="10" spans="1:24" ht="12.75" customHeight="1">
      <c r="A10" s="1">
        <f aca="true" t="shared" si="13" ref="A10:A53">+A9+1</f>
        <v>3</v>
      </c>
      <c r="B10" s="50" t="s">
        <v>4</v>
      </c>
      <c r="C10" s="3">
        <f>0+0.5+0.5</f>
        <v>1</v>
      </c>
      <c r="D10" s="3">
        <f>0+0.5+0.5+0.5</f>
        <v>1.5</v>
      </c>
      <c r="E10" s="3">
        <f>0+1+1</f>
        <v>2</v>
      </c>
      <c r="F10" s="3">
        <f>1+1+1</f>
        <v>3</v>
      </c>
      <c r="G10" s="47">
        <f t="shared" si="2"/>
        <v>2.5</v>
      </c>
      <c r="H10" s="47">
        <f t="shared" si="3"/>
        <v>5</v>
      </c>
      <c r="I10" s="3">
        <v>0.7</v>
      </c>
      <c r="J10" s="3">
        <f>1+0.3</f>
        <v>1.3</v>
      </c>
      <c r="K10" s="3">
        <v>7</v>
      </c>
      <c r="L10" s="3">
        <v>5</v>
      </c>
      <c r="M10" s="47">
        <f t="shared" si="4"/>
        <v>2</v>
      </c>
      <c r="N10" s="47">
        <f t="shared" si="5"/>
        <v>12</v>
      </c>
      <c r="O10" s="6">
        <f t="shared" si="6"/>
        <v>1.7</v>
      </c>
      <c r="P10" s="6">
        <f t="shared" si="7"/>
        <v>2.8</v>
      </c>
      <c r="Q10" s="6">
        <f t="shared" si="8"/>
        <v>9</v>
      </c>
      <c r="R10" s="6">
        <f t="shared" si="9"/>
        <v>8</v>
      </c>
      <c r="S10" s="48">
        <f t="shared" si="10"/>
        <v>4.5</v>
      </c>
      <c r="T10" s="48">
        <f t="shared" si="11"/>
        <v>17</v>
      </c>
      <c r="U10" s="9"/>
      <c r="V10" s="38">
        <v>50000</v>
      </c>
      <c r="W10" s="65">
        <f t="shared" si="12"/>
        <v>13.81</v>
      </c>
      <c r="X10" s="66">
        <f t="shared" si="1"/>
        <v>9.31</v>
      </c>
    </row>
    <row r="11" spans="1:24" ht="12.75" customHeight="1">
      <c r="A11" s="1">
        <f t="shared" si="13"/>
        <v>4</v>
      </c>
      <c r="B11" s="50" t="s">
        <v>26</v>
      </c>
      <c r="C11" s="3">
        <f>4.5+2+1-1+1</f>
        <v>7.5</v>
      </c>
      <c r="D11" s="3">
        <f>14.5+1+1+0.5+0.5+1-1+1+1+2+1+0.5</f>
        <v>23</v>
      </c>
      <c r="E11" s="3">
        <f>7+2+1-1+1</f>
        <v>10</v>
      </c>
      <c r="F11" s="3">
        <f>22+1+2+1+1-1+2+2+2+1+1</f>
        <v>34</v>
      </c>
      <c r="G11" s="47">
        <f t="shared" si="2"/>
        <v>30.5</v>
      </c>
      <c r="H11" s="47">
        <f t="shared" si="3"/>
        <v>44</v>
      </c>
      <c r="I11" s="3">
        <f>6.96+0.04+1+1</f>
        <v>9</v>
      </c>
      <c r="J11" s="3">
        <f>1+1.5+0.5+0.29</f>
        <v>3.29</v>
      </c>
      <c r="K11" s="3">
        <f>22+1+1+1</f>
        <v>25</v>
      </c>
      <c r="L11" s="3">
        <f>1+3+1+1</f>
        <v>6</v>
      </c>
      <c r="M11" s="47">
        <f t="shared" si="4"/>
        <v>12.29</v>
      </c>
      <c r="N11" s="47">
        <f t="shared" si="5"/>
        <v>31</v>
      </c>
      <c r="O11" s="6">
        <f t="shared" si="6"/>
        <v>16.5</v>
      </c>
      <c r="P11" s="6">
        <f t="shared" si="7"/>
        <v>26.29</v>
      </c>
      <c r="Q11" s="6">
        <f t="shared" si="8"/>
        <v>35</v>
      </c>
      <c r="R11" s="6">
        <f t="shared" si="9"/>
        <v>40</v>
      </c>
      <c r="S11" s="48">
        <f t="shared" si="10"/>
        <v>42.79</v>
      </c>
      <c r="T11" s="48">
        <f t="shared" si="11"/>
        <v>75</v>
      </c>
      <c r="U11" s="9"/>
      <c r="V11" s="38">
        <v>10000</v>
      </c>
      <c r="W11" s="65">
        <f t="shared" si="12"/>
        <v>69.03</v>
      </c>
      <c r="X11" s="66">
        <f t="shared" si="1"/>
        <v>26.240000000000002</v>
      </c>
    </row>
    <row r="12" spans="1:24" ht="15" customHeight="1">
      <c r="A12" s="1">
        <f t="shared" si="13"/>
        <v>5</v>
      </c>
      <c r="B12" s="50" t="s">
        <v>5</v>
      </c>
      <c r="C12" s="3">
        <v>0</v>
      </c>
      <c r="D12" s="3">
        <v>0</v>
      </c>
      <c r="E12" s="3">
        <v>0</v>
      </c>
      <c r="F12" s="3">
        <v>0</v>
      </c>
      <c r="G12" s="47">
        <f t="shared" si="2"/>
        <v>0</v>
      </c>
      <c r="H12" s="47">
        <f t="shared" si="3"/>
        <v>0</v>
      </c>
      <c r="I12" s="3">
        <v>0.04</v>
      </c>
      <c r="J12" s="3"/>
      <c r="K12" s="3">
        <v>1</v>
      </c>
      <c r="L12" s="3"/>
      <c r="M12" s="47">
        <f t="shared" si="4"/>
        <v>0.04</v>
      </c>
      <c r="N12" s="47">
        <f t="shared" si="5"/>
        <v>1</v>
      </c>
      <c r="O12" s="6">
        <f t="shared" si="6"/>
        <v>0.04</v>
      </c>
      <c r="P12" s="6">
        <f t="shared" si="7"/>
        <v>0</v>
      </c>
      <c r="Q12" s="6">
        <f t="shared" si="8"/>
        <v>1</v>
      </c>
      <c r="R12" s="6">
        <f t="shared" si="9"/>
        <v>0</v>
      </c>
      <c r="S12" s="48">
        <f t="shared" si="10"/>
        <v>0.04</v>
      </c>
      <c r="T12" s="48">
        <f t="shared" si="11"/>
        <v>1</v>
      </c>
      <c r="U12" s="9"/>
      <c r="V12" s="38">
        <v>50000</v>
      </c>
      <c r="W12" s="65">
        <f t="shared" si="12"/>
        <v>13.81</v>
      </c>
      <c r="X12" s="66">
        <f t="shared" si="1"/>
        <v>13.770000000000001</v>
      </c>
    </row>
    <row r="13" spans="1:24" ht="15" customHeight="1">
      <c r="A13" s="1">
        <f t="shared" si="13"/>
        <v>6</v>
      </c>
      <c r="B13" s="50" t="s">
        <v>6</v>
      </c>
      <c r="C13" s="3">
        <v>0</v>
      </c>
      <c r="D13" s="3">
        <v>0</v>
      </c>
      <c r="E13" s="3">
        <v>0</v>
      </c>
      <c r="F13" s="3">
        <v>0</v>
      </c>
      <c r="G13" s="47">
        <f t="shared" si="2"/>
        <v>0</v>
      </c>
      <c r="H13" s="47">
        <f t="shared" si="3"/>
        <v>0</v>
      </c>
      <c r="I13" s="3">
        <f>0.86+0.21+0.43+0.43+1</f>
        <v>2.9299999999999997</v>
      </c>
      <c r="J13" s="3">
        <v>0.07</v>
      </c>
      <c r="K13" s="3">
        <f>5+1</f>
        <v>6</v>
      </c>
      <c r="L13" s="3">
        <v>1</v>
      </c>
      <c r="M13" s="47">
        <f t="shared" si="4"/>
        <v>2.9999999999999996</v>
      </c>
      <c r="N13" s="47">
        <f t="shared" si="5"/>
        <v>7</v>
      </c>
      <c r="O13" s="6">
        <f t="shared" si="6"/>
        <v>2.9299999999999997</v>
      </c>
      <c r="P13" s="6">
        <f t="shared" si="7"/>
        <v>0.07</v>
      </c>
      <c r="Q13" s="6">
        <f t="shared" si="8"/>
        <v>6</v>
      </c>
      <c r="R13" s="6">
        <f t="shared" si="9"/>
        <v>1</v>
      </c>
      <c r="S13" s="48">
        <f t="shared" si="10"/>
        <v>2.9999999999999996</v>
      </c>
      <c r="T13" s="48">
        <f t="shared" si="11"/>
        <v>7</v>
      </c>
      <c r="U13" s="9"/>
      <c r="V13" s="38">
        <v>50000</v>
      </c>
      <c r="W13" s="65">
        <f t="shared" si="12"/>
        <v>13.81</v>
      </c>
      <c r="X13" s="66">
        <f t="shared" si="1"/>
        <v>10.81</v>
      </c>
    </row>
    <row r="14" spans="1:24" ht="15" customHeight="1">
      <c r="A14" s="1">
        <f t="shared" si="13"/>
        <v>7</v>
      </c>
      <c r="B14" s="50" t="s">
        <v>27</v>
      </c>
      <c r="C14" s="3">
        <v>4.5</v>
      </c>
      <c r="D14" s="3">
        <f>2.75+1+0.5+0.5+0.5+1</f>
        <v>6.25</v>
      </c>
      <c r="E14" s="3">
        <f>4</f>
        <v>4</v>
      </c>
      <c r="F14" s="3">
        <f>5+1+1+1+2</f>
        <v>10</v>
      </c>
      <c r="G14" s="47">
        <f t="shared" si="2"/>
        <v>10.75</v>
      </c>
      <c r="H14" s="47">
        <f t="shared" si="3"/>
        <v>14</v>
      </c>
      <c r="I14" s="3">
        <f>10.68+1.25+0.82+0.63+0.14</f>
        <v>13.520000000000001</v>
      </c>
      <c r="J14" s="3">
        <f>3.647+0.5+0.08+0.17+0.03+0.06+0.28</f>
        <v>4.767</v>
      </c>
      <c r="K14" s="3">
        <f>38+4+4+5+5+5</f>
        <v>61</v>
      </c>
      <c r="L14" s="3">
        <f>15+1+2+1+2</f>
        <v>21</v>
      </c>
      <c r="M14" s="47">
        <f t="shared" si="4"/>
        <v>18.287000000000003</v>
      </c>
      <c r="N14" s="47">
        <f t="shared" si="5"/>
        <v>82</v>
      </c>
      <c r="O14" s="6">
        <f t="shared" si="6"/>
        <v>18.020000000000003</v>
      </c>
      <c r="P14" s="6">
        <f t="shared" si="7"/>
        <v>11.017</v>
      </c>
      <c r="Q14" s="6">
        <f t="shared" si="8"/>
        <v>65</v>
      </c>
      <c r="R14" s="6">
        <f t="shared" si="9"/>
        <v>31</v>
      </c>
      <c r="S14" s="48">
        <f t="shared" si="10"/>
        <v>29.037000000000003</v>
      </c>
      <c r="T14" s="48">
        <f t="shared" si="11"/>
        <v>96</v>
      </c>
      <c r="U14" s="9"/>
      <c r="V14" s="38">
        <v>10000</v>
      </c>
      <c r="W14" s="65">
        <f t="shared" si="12"/>
        <v>69.03</v>
      </c>
      <c r="X14" s="66">
        <f t="shared" si="1"/>
        <v>39.992999999999995</v>
      </c>
    </row>
    <row r="15" spans="1:24" ht="15" customHeight="1">
      <c r="A15" s="1">
        <f t="shared" si="13"/>
        <v>8</v>
      </c>
      <c r="B15" s="50" t="s">
        <v>7</v>
      </c>
      <c r="C15" s="3">
        <v>0</v>
      </c>
      <c r="D15" s="3">
        <v>0</v>
      </c>
      <c r="E15" s="3">
        <v>0</v>
      </c>
      <c r="F15" s="3">
        <v>0</v>
      </c>
      <c r="G15" s="47">
        <f t="shared" si="2"/>
        <v>0</v>
      </c>
      <c r="H15" s="47">
        <f t="shared" si="3"/>
        <v>0</v>
      </c>
      <c r="I15" s="3">
        <v>3.85</v>
      </c>
      <c r="J15" s="3"/>
      <c r="K15" s="3">
        <v>15</v>
      </c>
      <c r="L15" s="3"/>
      <c r="M15" s="47">
        <f t="shared" si="4"/>
        <v>3.85</v>
      </c>
      <c r="N15" s="47">
        <f t="shared" si="5"/>
        <v>15</v>
      </c>
      <c r="O15" s="6">
        <f t="shared" si="6"/>
        <v>3.85</v>
      </c>
      <c r="P15" s="6">
        <f t="shared" si="7"/>
        <v>0</v>
      </c>
      <c r="Q15" s="6">
        <f t="shared" si="8"/>
        <v>15</v>
      </c>
      <c r="R15" s="6">
        <f t="shared" si="9"/>
        <v>0</v>
      </c>
      <c r="S15" s="48">
        <f t="shared" si="10"/>
        <v>3.85</v>
      </c>
      <c r="T15" s="48">
        <f t="shared" si="11"/>
        <v>15</v>
      </c>
      <c r="U15" s="9"/>
      <c r="V15" s="38">
        <v>50000</v>
      </c>
      <c r="W15" s="65">
        <f t="shared" si="12"/>
        <v>13.81</v>
      </c>
      <c r="X15" s="66">
        <f t="shared" si="1"/>
        <v>9.96</v>
      </c>
    </row>
    <row r="16" spans="1:24" ht="14.25" customHeight="1">
      <c r="A16" s="1">
        <f t="shared" si="13"/>
        <v>9</v>
      </c>
      <c r="B16" s="50" t="s">
        <v>8</v>
      </c>
      <c r="C16" s="3">
        <v>0</v>
      </c>
      <c r="D16" s="3">
        <v>0.75</v>
      </c>
      <c r="E16" s="3">
        <v>0</v>
      </c>
      <c r="F16" s="3">
        <v>2</v>
      </c>
      <c r="G16" s="47">
        <f t="shared" si="2"/>
        <v>0.75</v>
      </c>
      <c r="H16" s="47">
        <f t="shared" si="3"/>
        <v>2</v>
      </c>
      <c r="I16" s="3">
        <f>0.09+0.51</f>
        <v>0.6</v>
      </c>
      <c r="J16" s="3"/>
      <c r="K16" s="3">
        <f>1+6</f>
        <v>7</v>
      </c>
      <c r="L16" s="3"/>
      <c r="M16" s="47">
        <f t="shared" si="4"/>
        <v>0.6</v>
      </c>
      <c r="N16" s="47">
        <f t="shared" si="5"/>
        <v>7</v>
      </c>
      <c r="O16" s="6">
        <f t="shared" si="6"/>
        <v>0.6</v>
      </c>
      <c r="P16" s="6">
        <f t="shared" si="7"/>
        <v>0.75</v>
      </c>
      <c r="Q16" s="6">
        <f t="shared" si="8"/>
        <v>7</v>
      </c>
      <c r="R16" s="6">
        <f t="shared" si="9"/>
        <v>2</v>
      </c>
      <c r="S16" s="48">
        <f t="shared" si="10"/>
        <v>1.35</v>
      </c>
      <c r="T16" s="48">
        <f t="shared" si="11"/>
        <v>9</v>
      </c>
      <c r="U16" s="9"/>
      <c r="V16" s="38">
        <v>50000</v>
      </c>
      <c r="W16" s="65">
        <f t="shared" si="12"/>
        <v>13.81</v>
      </c>
      <c r="X16" s="66">
        <f t="shared" si="1"/>
        <v>12.46</v>
      </c>
    </row>
    <row r="17" spans="1:24" ht="24.75" customHeight="1">
      <c r="A17" s="1">
        <f t="shared" si="13"/>
        <v>10</v>
      </c>
      <c r="B17" s="50" t="s">
        <v>9</v>
      </c>
      <c r="C17" s="3">
        <v>2</v>
      </c>
      <c r="D17" s="3">
        <v>1</v>
      </c>
      <c r="E17" s="3">
        <v>2</v>
      </c>
      <c r="F17" s="3">
        <v>1</v>
      </c>
      <c r="G17" s="47">
        <f t="shared" si="2"/>
        <v>3</v>
      </c>
      <c r="H17" s="47">
        <f t="shared" si="3"/>
        <v>3</v>
      </c>
      <c r="I17" s="3">
        <f>0.91+0.17+0.06+0.06+0.04</f>
        <v>1.2400000000000002</v>
      </c>
      <c r="J17" s="3">
        <f>0.57+0.86+0.23+0.36+0.11</f>
        <v>2.13</v>
      </c>
      <c r="K17" s="3">
        <f>5+1+1+1+1</f>
        <v>9</v>
      </c>
      <c r="L17" s="3">
        <f>4+1+1+4</f>
        <v>10</v>
      </c>
      <c r="M17" s="47">
        <f t="shared" si="4"/>
        <v>3.37</v>
      </c>
      <c r="N17" s="47">
        <f t="shared" si="5"/>
        <v>19</v>
      </c>
      <c r="O17" s="6">
        <f t="shared" si="6"/>
        <v>3.24</v>
      </c>
      <c r="P17" s="6">
        <f t="shared" si="7"/>
        <v>3.13</v>
      </c>
      <c r="Q17" s="6">
        <f t="shared" si="8"/>
        <v>11</v>
      </c>
      <c r="R17" s="6">
        <f t="shared" si="9"/>
        <v>11</v>
      </c>
      <c r="S17" s="48">
        <f t="shared" si="10"/>
        <v>6.37</v>
      </c>
      <c r="T17" s="48">
        <f t="shared" si="11"/>
        <v>22</v>
      </c>
      <c r="U17" s="9"/>
      <c r="V17" s="38">
        <v>50000</v>
      </c>
      <c r="W17" s="65">
        <f t="shared" si="12"/>
        <v>13.81</v>
      </c>
      <c r="X17" s="66">
        <f t="shared" si="1"/>
        <v>7.44</v>
      </c>
    </row>
    <row r="18" spans="1:24" ht="15" customHeight="1">
      <c r="A18" s="1">
        <f t="shared" si="13"/>
        <v>11</v>
      </c>
      <c r="B18" s="50" t="s">
        <v>10</v>
      </c>
      <c r="C18" s="3">
        <v>0</v>
      </c>
      <c r="D18" s="3">
        <v>0</v>
      </c>
      <c r="E18" s="3">
        <v>0</v>
      </c>
      <c r="F18" s="3">
        <v>0</v>
      </c>
      <c r="G18" s="47">
        <f t="shared" si="2"/>
        <v>0</v>
      </c>
      <c r="H18" s="47">
        <f t="shared" si="3"/>
        <v>0</v>
      </c>
      <c r="I18" s="3">
        <f>0.5+0.74+0.2</f>
        <v>1.44</v>
      </c>
      <c r="J18" s="3">
        <f>0.11+1</f>
        <v>1.11</v>
      </c>
      <c r="K18" s="3">
        <f>2+5+1</f>
        <v>8</v>
      </c>
      <c r="L18" s="3">
        <f>1+1</f>
        <v>2</v>
      </c>
      <c r="M18" s="47">
        <f t="shared" si="4"/>
        <v>2.55</v>
      </c>
      <c r="N18" s="47">
        <f t="shared" si="5"/>
        <v>10</v>
      </c>
      <c r="O18" s="6">
        <f t="shared" si="6"/>
        <v>1.44</v>
      </c>
      <c r="P18" s="6">
        <f t="shared" si="7"/>
        <v>1.11</v>
      </c>
      <c r="Q18" s="6">
        <f t="shared" si="8"/>
        <v>8</v>
      </c>
      <c r="R18" s="6">
        <f t="shared" si="9"/>
        <v>2</v>
      </c>
      <c r="S18" s="48">
        <f t="shared" si="10"/>
        <v>2.55</v>
      </c>
      <c r="T18" s="48">
        <f t="shared" si="11"/>
        <v>10</v>
      </c>
      <c r="U18" s="9"/>
      <c r="V18" s="38">
        <v>50000</v>
      </c>
      <c r="W18" s="65">
        <f t="shared" si="12"/>
        <v>13.81</v>
      </c>
      <c r="X18" s="66">
        <f t="shared" si="1"/>
        <v>11.260000000000002</v>
      </c>
    </row>
    <row r="19" spans="1:24" ht="13.5" customHeight="1">
      <c r="A19" s="1">
        <f t="shared" si="13"/>
        <v>12</v>
      </c>
      <c r="B19" s="50" t="s">
        <v>11</v>
      </c>
      <c r="C19" s="3">
        <v>1.5</v>
      </c>
      <c r="D19" s="3">
        <f>2+1</f>
        <v>3</v>
      </c>
      <c r="E19" s="3">
        <v>2</v>
      </c>
      <c r="F19" s="3">
        <f>2+1</f>
        <v>3</v>
      </c>
      <c r="G19" s="47">
        <f t="shared" si="2"/>
        <v>4.5</v>
      </c>
      <c r="H19" s="47">
        <f t="shared" si="3"/>
        <v>5</v>
      </c>
      <c r="I19" s="3">
        <v>0.8</v>
      </c>
      <c r="J19" s="3">
        <v>0.2</v>
      </c>
      <c r="K19" s="3">
        <v>4</v>
      </c>
      <c r="L19" s="3">
        <v>1</v>
      </c>
      <c r="M19" s="47">
        <f t="shared" si="4"/>
        <v>1</v>
      </c>
      <c r="N19" s="47">
        <f t="shared" si="5"/>
        <v>5</v>
      </c>
      <c r="O19" s="6">
        <f t="shared" si="6"/>
        <v>2.3</v>
      </c>
      <c r="P19" s="6">
        <f t="shared" si="7"/>
        <v>3.2</v>
      </c>
      <c r="Q19" s="6">
        <f t="shared" si="8"/>
        <v>6</v>
      </c>
      <c r="R19" s="6">
        <f t="shared" si="9"/>
        <v>4</v>
      </c>
      <c r="S19" s="48">
        <f t="shared" si="10"/>
        <v>5.5</v>
      </c>
      <c r="T19" s="48">
        <f t="shared" si="11"/>
        <v>10</v>
      </c>
      <c r="U19" s="9"/>
      <c r="V19" s="38">
        <v>50000</v>
      </c>
      <c r="W19" s="65">
        <f t="shared" si="12"/>
        <v>13.81</v>
      </c>
      <c r="X19" s="66">
        <f t="shared" si="1"/>
        <v>8.31</v>
      </c>
    </row>
    <row r="20" spans="1:24" ht="13.5" customHeight="1">
      <c r="A20" s="1">
        <f t="shared" si="13"/>
        <v>13</v>
      </c>
      <c r="B20" s="50" t="s">
        <v>28</v>
      </c>
      <c r="C20" s="3">
        <f>15+1+1</f>
        <v>17</v>
      </c>
      <c r="D20" s="3">
        <f>8+1+0.5+2+1+1</f>
        <v>13.5</v>
      </c>
      <c r="E20" s="3">
        <f>17+1+1</f>
        <v>19</v>
      </c>
      <c r="F20" s="3">
        <f>12+1+1+2+1+1</f>
        <v>18</v>
      </c>
      <c r="G20" s="47">
        <f t="shared" si="2"/>
        <v>30.5</v>
      </c>
      <c r="H20" s="47">
        <f t="shared" si="3"/>
        <v>37</v>
      </c>
      <c r="I20" s="3">
        <f>3.076+0.5+1+1+1.16</f>
        <v>6.736000000000001</v>
      </c>
      <c r="J20" s="3">
        <f>0.26+0.5+1+1+1+0.6</f>
        <v>4.359999999999999</v>
      </c>
      <c r="K20" s="3">
        <f>8+1+1+5+2</f>
        <v>17</v>
      </c>
      <c r="L20" s="3">
        <f>3+1+1</f>
        <v>5</v>
      </c>
      <c r="M20" s="47">
        <f t="shared" si="4"/>
        <v>11.096</v>
      </c>
      <c r="N20" s="47">
        <f t="shared" si="5"/>
        <v>22</v>
      </c>
      <c r="O20" s="6">
        <f t="shared" si="6"/>
        <v>23.736</v>
      </c>
      <c r="P20" s="6">
        <f t="shared" si="7"/>
        <v>17.86</v>
      </c>
      <c r="Q20" s="6">
        <f t="shared" si="8"/>
        <v>36</v>
      </c>
      <c r="R20" s="6">
        <f t="shared" si="9"/>
        <v>23</v>
      </c>
      <c r="S20" s="48">
        <f t="shared" si="10"/>
        <v>41.596000000000004</v>
      </c>
      <c r="T20" s="48">
        <f t="shared" si="11"/>
        <v>59</v>
      </c>
      <c r="U20" s="9"/>
      <c r="V20" s="38">
        <v>10000</v>
      </c>
      <c r="W20" s="65">
        <f t="shared" si="12"/>
        <v>69.03</v>
      </c>
      <c r="X20" s="66">
        <f t="shared" si="1"/>
        <v>27.433999999999997</v>
      </c>
    </row>
    <row r="21" spans="1:24" ht="23.25" customHeight="1">
      <c r="A21" s="1">
        <f t="shared" si="13"/>
        <v>14</v>
      </c>
      <c r="B21" s="50" t="s">
        <v>12</v>
      </c>
      <c r="C21" s="3">
        <f>14.5+0.5+1+0.5</f>
        <v>16.5</v>
      </c>
      <c r="D21" s="3">
        <f>15.5+0.5+0.5-0.5+0.5+1</f>
        <v>17.5</v>
      </c>
      <c r="E21" s="3">
        <f>19+1</f>
        <v>20</v>
      </c>
      <c r="F21" s="3">
        <f>18+1+1</f>
        <v>20</v>
      </c>
      <c r="G21" s="47">
        <f t="shared" si="2"/>
        <v>34</v>
      </c>
      <c r="H21" s="47">
        <f t="shared" si="3"/>
        <v>40</v>
      </c>
      <c r="I21" s="3">
        <f>5.54+1+0.71</f>
        <v>7.25</v>
      </c>
      <c r="J21" s="3">
        <v>2.26</v>
      </c>
      <c r="K21" s="3">
        <f>11+1+1+1</f>
        <v>14</v>
      </c>
      <c r="L21" s="3">
        <v>2</v>
      </c>
      <c r="M21" s="47">
        <f t="shared" si="4"/>
        <v>9.51</v>
      </c>
      <c r="N21" s="47">
        <f t="shared" si="5"/>
        <v>16</v>
      </c>
      <c r="O21" s="6">
        <f t="shared" si="6"/>
        <v>23.75</v>
      </c>
      <c r="P21" s="6">
        <f t="shared" si="7"/>
        <v>19.759999999999998</v>
      </c>
      <c r="Q21" s="6">
        <f t="shared" si="8"/>
        <v>34</v>
      </c>
      <c r="R21" s="6">
        <f t="shared" si="9"/>
        <v>22</v>
      </c>
      <c r="S21" s="48">
        <f t="shared" si="10"/>
        <v>43.51</v>
      </c>
      <c r="T21" s="48">
        <f t="shared" si="11"/>
        <v>56</v>
      </c>
      <c r="U21" s="9"/>
      <c r="V21" s="38">
        <v>10000</v>
      </c>
      <c r="W21" s="65">
        <f t="shared" si="12"/>
        <v>69.03</v>
      </c>
      <c r="X21" s="66">
        <f t="shared" si="1"/>
        <v>25.520000000000003</v>
      </c>
    </row>
    <row r="22" spans="1:24" ht="15.75" customHeight="1">
      <c r="A22" s="1">
        <f t="shared" si="13"/>
        <v>15</v>
      </c>
      <c r="B22" s="50" t="s">
        <v>29</v>
      </c>
      <c r="C22" s="3">
        <v>2</v>
      </c>
      <c r="D22" s="3">
        <f>18+0.5+1+1+1+1+1+1+1+1</f>
        <v>26.5</v>
      </c>
      <c r="E22" s="3">
        <v>2</v>
      </c>
      <c r="F22" s="3">
        <f>20+1+1+1+1+1+2+1+1+1</f>
        <v>30</v>
      </c>
      <c r="G22" s="47">
        <f t="shared" si="2"/>
        <v>28.5</v>
      </c>
      <c r="H22" s="47">
        <f t="shared" si="3"/>
        <v>32</v>
      </c>
      <c r="I22" s="3">
        <f>3.74+1.03</f>
        <v>4.7700000000000005</v>
      </c>
      <c r="J22" s="3">
        <f>0.23+0.5+0.5+1+0.5+1+0.5</f>
        <v>4.23</v>
      </c>
      <c r="K22" s="3">
        <f>10+2</f>
        <v>12</v>
      </c>
      <c r="L22" s="3">
        <v>8</v>
      </c>
      <c r="M22" s="47">
        <f t="shared" si="4"/>
        <v>9</v>
      </c>
      <c r="N22" s="47">
        <f t="shared" si="5"/>
        <v>20</v>
      </c>
      <c r="O22" s="6">
        <f t="shared" si="6"/>
        <v>6.7700000000000005</v>
      </c>
      <c r="P22" s="6">
        <f t="shared" si="7"/>
        <v>30.73</v>
      </c>
      <c r="Q22" s="6">
        <f t="shared" si="8"/>
        <v>14</v>
      </c>
      <c r="R22" s="6">
        <f t="shared" si="9"/>
        <v>38</v>
      </c>
      <c r="S22" s="48">
        <f t="shared" si="10"/>
        <v>37.5</v>
      </c>
      <c r="T22" s="48">
        <f t="shared" si="11"/>
        <v>52</v>
      </c>
      <c r="U22" s="9"/>
      <c r="V22" s="38">
        <v>10000</v>
      </c>
      <c r="W22" s="65">
        <f t="shared" si="12"/>
        <v>69.03</v>
      </c>
      <c r="X22" s="66">
        <f t="shared" si="1"/>
        <v>31.53</v>
      </c>
    </row>
    <row r="23" spans="1:24" ht="15.75" customHeight="1">
      <c r="A23" s="1">
        <f t="shared" si="13"/>
        <v>16</v>
      </c>
      <c r="B23" s="50" t="s">
        <v>30</v>
      </c>
      <c r="C23" s="3">
        <v>2</v>
      </c>
      <c r="D23" s="3">
        <f>9+1+1+1+1+2</f>
        <v>15</v>
      </c>
      <c r="E23" s="3">
        <v>2</v>
      </c>
      <c r="F23" s="3">
        <f>10+1+1+2+1+2</f>
        <v>17</v>
      </c>
      <c r="G23" s="47">
        <f t="shared" si="2"/>
        <v>17</v>
      </c>
      <c r="H23" s="47">
        <f t="shared" si="3"/>
        <v>19</v>
      </c>
      <c r="I23" s="3">
        <f>4.94+0.94+0.14+0.08</f>
        <v>6.1000000000000005</v>
      </c>
      <c r="J23" s="3">
        <f>0.44+0.75+1+0.06</f>
        <v>2.25</v>
      </c>
      <c r="K23" s="3">
        <f>26+2+1+2+1</f>
        <v>32</v>
      </c>
      <c r="L23" s="3">
        <f>9+1</f>
        <v>10</v>
      </c>
      <c r="M23" s="47">
        <f t="shared" si="4"/>
        <v>8.350000000000001</v>
      </c>
      <c r="N23" s="47">
        <f t="shared" si="5"/>
        <v>42</v>
      </c>
      <c r="O23" s="6">
        <f t="shared" si="6"/>
        <v>8.100000000000001</v>
      </c>
      <c r="P23" s="6">
        <f t="shared" si="7"/>
        <v>17.25</v>
      </c>
      <c r="Q23" s="6">
        <f t="shared" si="8"/>
        <v>34</v>
      </c>
      <c r="R23" s="6">
        <f t="shared" si="9"/>
        <v>27</v>
      </c>
      <c r="S23" s="48">
        <f t="shared" si="10"/>
        <v>25.35</v>
      </c>
      <c r="T23" s="48">
        <f t="shared" si="11"/>
        <v>61</v>
      </c>
      <c r="U23" s="9"/>
      <c r="V23" s="38">
        <v>10000</v>
      </c>
      <c r="W23" s="65">
        <f t="shared" si="12"/>
        <v>69.03</v>
      </c>
      <c r="X23" s="66">
        <f t="shared" si="1"/>
        <v>43.68</v>
      </c>
    </row>
    <row r="24" spans="1:24" ht="15" customHeight="1">
      <c r="A24" s="1">
        <f t="shared" si="13"/>
        <v>17</v>
      </c>
      <c r="B24" s="50" t="s">
        <v>13</v>
      </c>
      <c r="C24" s="3">
        <v>0</v>
      </c>
      <c r="D24" s="3">
        <v>1</v>
      </c>
      <c r="E24" s="3">
        <v>0</v>
      </c>
      <c r="F24" s="3">
        <v>1</v>
      </c>
      <c r="G24" s="47">
        <f t="shared" si="2"/>
        <v>1</v>
      </c>
      <c r="H24" s="47">
        <f t="shared" si="3"/>
        <v>1</v>
      </c>
      <c r="I24" s="3">
        <v>0.04</v>
      </c>
      <c r="J24" s="3">
        <f>0.12+0.1</f>
        <v>0.22</v>
      </c>
      <c r="K24" s="3">
        <v>1</v>
      </c>
      <c r="L24" s="3">
        <f>3+2</f>
        <v>5</v>
      </c>
      <c r="M24" s="47">
        <f t="shared" si="4"/>
        <v>0.26</v>
      </c>
      <c r="N24" s="47">
        <f t="shared" si="5"/>
        <v>6</v>
      </c>
      <c r="O24" s="6">
        <f t="shared" si="6"/>
        <v>0.04</v>
      </c>
      <c r="P24" s="6">
        <f t="shared" si="7"/>
        <v>1.22</v>
      </c>
      <c r="Q24" s="6">
        <f t="shared" si="8"/>
        <v>1</v>
      </c>
      <c r="R24" s="6">
        <f t="shared" si="9"/>
        <v>6</v>
      </c>
      <c r="S24" s="48">
        <f t="shared" si="10"/>
        <v>1.26</v>
      </c>
      <c r="T24" s="48">
        <f t="shared" si="11"/>
        <v>7</v>
      </c>
      <c r="U24" s="9"/>
      <c r="V24" s="38">
        <v>50000</v>
      </c>
      <c r="W24" s="65">
        <f t="shared" si="12"/>
        <v>13.81</v>
      </c>
      <c r="X24" s="66">
        <f t="shared" si="1"/>
        <v>12.55</v>
      </c>
    </row>
    <row r="25" spans="1:24" ht="14.25" customHeight="1">
      <c r="A25" s="1">
        <f t="shared" si="13"/>
        <v>18</v>
      </c>
      <c r="B25" s="50" t="s">
        <v>14</v>
      </c>
      <c r="C25" s="3">
        <v>0</v>
      </c>
      <c r="D25" s="3">
        <v>0</v>
      </c>
      <c r="E25" s="3">
        <v>0</v>
      </c>
      <c r="F25" s="3">
        <v>0</v>
      </c>
      <c r="G25" s="47">
        <f t="shared" si="2"/>
        <v>0</v>
      </c>
      <c r="H25" s="47">
        <f t="shared" si="3"/>
        <v>0</v>
      </c>
      <c r="I25" s="3">
        <f>0.14+2</f>
        <v>2.14</v>
      </c>
      <c r="J25" s="3">
        <v>0.09</v>
      </c>
      <c r="K25" s="3">
        <f>1+4</f>
        <v>5</v>
      </c>
      <c r="L25" s="3">
        <v>1</v>
      </c>
      <c r="M25" s="47">
        <f t="shared" si="4"/>
        <v>2.23</v>
      </c>
      <c r="N25" s="47">
        <f t="shared" si="5"/>
        <v>6</v>
      </c>
      <c r="O25" s="6">
        <f t="shared" si="6"/>
        <v>2.14</v>
      </c>
      <c r="P25" s="6">
        <f t="shared" si="7"/>
        <v>0.09</v>
      </c>
      <c r="Q25" s="6">
        <f t="shared" si="8"/>
        <v>5</v>
      </c>
      <c r="R25" s="6">
        <f t="shared" si="9"/>
        <v>1</v>
      </c>
      <c r="S25" s="48">
        <f t="shared" si="10"/>
        <v>2.23</v>
      </c>
      <c r="T25" s="48">
        <f t="shared" si="11"/>
        <v>6</v>
      </c>
      <c r="U25" s="9"/>
      <c r="V25" s="38">
        <v>50000</v>
      </c>
      <c r="W25" s="65">
        <f t="shared" si="12"/>
        <v>13.81</v>
      </c>
      <c r="X25" s="66">
        <f t="shared" si="1"/>
        <v>11.58</v>
      </c>
    </row>
    <row r="26" spans="1:24" ht="12.75" customHeight="1">
      <c r="A26" s="1">
        <f t="shared" si="13"/>
        <v>19</v>
      </c>
      <c r="B26" s="50" t="s">
        <v>15</v>
      </c>
      <c r="C26" s="3">
        <f>2+0.5</f>
        <v>2.5</v>
      </c>
      <c r="D26" s="3">
        <f>2-0.5</f>
        <v>1.5</v>
      </c>
      <c r="E26" s="3">
        <f>3+1</f>
        <v>4</v>
      </c>
      <c r="F26" s="3">
        <v>2</v>
      </c>
      <c r="G26" s="47">
        <f t="shared" si="2"/>
        <v>4</v>
      </c>
      <c r="H26" s="47">
        <f t="shared" si="3"/>
        <v>6</v>
      </c>
      <c r="I26" s="3">
        <f>0.17+0.6</f>
        <v>0.77</v>
      </c>
      <c r="J26" s="3">
        <v>0.17</v>
      </c>
      <c r="K26" s="3">
        <v>2</v>
      </c>
      <c r="L26" s="3">
        <v>1</v>
      </c>
      <c r="M26" s="47">
        <f t="shared" si="4"/>
        <v>0.9400000000000001</v>
      </c>
      <c r="N26" s="47">
        <f t="shared" si="5"/>
        <v>3</v>
      </c>
      <c r="O26" s="6">
        <f t="shared" si="6"/>
        <v>3.27</v>
      </c>
      <c r="P26" s="6">
        <f t="shared" si="7"/>
        <v>1.67</v>
      </c>
      <c r="Q26" s="6">
        <f t="shared" si="8"/>
        <v>6</v>
      </c>
      <c r="R26" s="6">
        <f t="shared" si="9"/>
        <v>3</v>
      </c>
      <c r="S26" s="48">
        <f t="shared" si="10"/>
        <v>4.94</v>
      </c>
      <c r="T26" s="48">
        <f t="shared" si="11"/>
        <v>9</v>
      </c>
      <c r="U26" s="9"/>
      <c r="V26" s="38">
        <v>50000</v>
      </c>
      <c r="W26" s="65">
        <f t="shared" si="12"/>
        <v>13.81</v>
      </c>
      <c r="X26" s="66">
        <f t="shared" si="1"/>
        <v>8.870000000000001</v>
      </c>
    </row>
    <row r="27" spans="1:24" ht="15.75" customHeight="1">
      <c r="A27" s="1">
        <f t="shared" si="13"/>
        <v>20</v>
      </c>
      <c r="B27" s="50" t="s">
        <v>16</v>
      </c>
      <c r="C27" s="3">
        <v>0</v>
      </c>
      <c r="D27" s="3">
        <v>0</v>
      </c>
      <c r="E27" s="3">
        <v>0</v>
      </c>
      <c r="F27" s="3">
        <v>0</v>
      </c>
      <c r="G27" s="47">
        <f t="shared" si="2"/>
        <v>0</v>
      </c>
      <c r="H27" s="47">
        <f t="shared" si="3"/>
        <v>0</v>
      </c>
      <c r="I27" s="3">
        <f>0.28+1.29+0.09</f>
        <v>1.6600000000000001</v>
      </c>
      <c r="J27" s="3">
        <f>0.29+1.29+0.31</f>
        <v>1.8900000000000001</v>
      </c>
      <c r="K27" s="3">
        <f>2+4+1</f>
        <v>7</v>
      </c>
      <c r="L27" s="3">
        <f>1+6</f>
        <v>7</v>
      </c>
      <c r="M27" s="47">
        <f t="shared" si="4"/>
        <v>3.5500000000000003</v>
      </c>
      <c r="N27" s="47">
        <f t="shared" si="5"/>
        <v>14</v>
      </c>
      <c r="O27" s="6">
        <f t="shared" si="6"/>
        <v>1.6600000000000001</v>
      </c>
      <c r="P27" s="6">
        <f t="shared" si="7"/>
        <v>1.8900000000000001</v>
      </c>
      <c r="Q27" s="6">
        <f t="shared" si="8"/>
        <v>7</v>
      </c>
      <c r="R27" s="6">
        <f t="shared" si="9"/>
        <v>7</v>
      </c>
      <c r="S27" s="48">
        <f t="shared" si="10"/>
        <v>3.5500000000000003</v>
      </c>
      <c r="T27" s="48">
        <f t="shared" si="11"/>
        <v>14</v>
      </c>
      <c r="U27" s="9"/>
      <c r="V27" s="38">
        <v>50000</v>
      </c>
      <c r="W27" s="65">
        <f t="shared" si="12"/>
        <v>13.81</v>
      </c>
      <c r="X27" s="66">
        <f t="shared" si="1"/>
        <v>10.26</v>
      </c>
    </row>
    <row r="28" spans="1:24" ht="13.5" customHeight="1">
      <c r="A28" s="1">
        <f t="shared" si="13"/>
        <v>21</v>
      </c>
      <c r="B28" s="50" t="s">
        <v>31</v>
      </c>
      <c r="C28" s="3">
        <v>12</v>
      </c>
      <c r="D28" s="3">
        <f>13.5+1+1+1+1+1+0.5+1+1+1+1+0.5+1</f>
        <v>24.5</v>
      </c>
      <c r="E28" s="3">
        <v>13</v>
      </c>
      <c r="F28" s="3">
        <f>18+1+1+1+1+1+1+1+1+1+1+1+1</f>
        <v>30</v>
      </c>
      <c r="G28" s="47">
        <f t="shared" si="2"/>
        <v>36.5</v>
      </c>
      <c r="H28" s="47">
        <f t="shared" si="3"/>
        <v>43</v>
      </c>
      <c r="I28" s="3">
        <f>4.37+0.5+0.27+0.25+1+2.51+1.2+0.34+0.51+1+0.21</f>
        <v>12.16</v>
      </c>
      <c r="J28" s="3">
        <f>0.74+0.5+0.5+0.25+0.5+0.75+0.14+2+0.21</f>
        <v>5.590000000000001</v>
      </c>
      <c r="K28" s="3">
        <f>19+1+6+1+2+7+2+3+1+2</f>
        <v>44</v>
      </c>
      <c r="L28" s="3">
        <v>16</v>
      </c>
      <c r="M28" s="47">
        <f t="shared" si="4"/>
        <v>17.75</v>
      </c>
      <c r="N28" s="47">
        <f t="shared" si="5"/>
        <v>60</v>
      </c>
      <c r="O28" s="6">
        <f t="shared" si="6"/>
        <v>24.16</v>
      </c>
      <c r="P28" s="6">
        <f t="shared" si="7"/>
        <v>30.09</v>
      </c>
      <c r="Q28" s="6">
        <f t="shared" si="8"/>
        <v>57</v>
      </c>
      <c r="R28" s="6">
        <f t="shared" si="9"/>
        <v>46</v>
      </c>
      <c r="S28" s="48">
        <f t="shared" si="10"/>
        <v>54.25</v>
      </c>
      <c r="T28" s="48">
        <f t="shared" si="11"/>
        <v>103</v>
      </c>
      <c r="U28" s="9"/>
      <c r="V28" s="38">
        <v>10000</v>
      </c>
      <c r="W28" s="65">
        <f t="shared" si="12"/>
        <v>69.03</v>
      </c>
      <c r="X28" s="66">
        <f t="shared" si="1"/>
        <v>14.780000000000001</v>
      </c>
    </row>
    <row r="29" spans="1:24" ht="12.75" customHeight="1">
      <c r="A29" s="1">
        <f t="shared" si="13"/>
        <v>22</v>
      </c>
      <c r="B29" s="50" t="s">
        <v>17</v>
      </c>
      <c r="C29" s="3">
        <v>1</v>
      </c>
      <c r="D29" s="3">
        <f>F29</f>
        <v>6</v>
      </c>
      <c r="E29" s="3">
        <v>1</v>
      </c>
      <c r="F29" s="3">
        <f>2+1+2+1</f>
        <v>6</v>
      </c>
      <c r="G29" s="47">
        <f t="shared" si="2"/>
        <v>7</v>
      </c>
      <c r="H29" s="47">
        <f t="shared" si="3"/>
        <v>7</v>
      </c>
      <c r="I29" s="3">
        <v>1.87</v>
      </c>
      <c r="J29" s="3">
        <f>0.51+0.34+0.34+0.09</f>
        <v>1.2800000000000002</v>
      </c>
      <c r="K29" s="3">
        <v>8</v>
      </c>
      <c r="L29" s="3">
        <f>2+2+1+1</f>
        <v>6</v>
      </c>
      <c r="M29" s="47">
        <f t="shared" si="4"/>
        <v>3.1500000000000004</v>
      </c>
      <c r="N29" s="47">
        <f t="shared" si="5"/>
        <v>14</v>
      </c>
      <c r="O29" s="6">
        <f t="shared" si="6"/>
        <v>2.87</v>
      </c>
      <c r="P29" s="6">
        <f t="shared" si="7"/>
        <v>7.28</v>
      </c>
      <c r="Q29" s="6">
        <f t="shared" si="8"/>
        <v>9</v>
      </c>
      <c r="R29" s="6">
        <f t="shared" si="9"/>
        <v>12</v>
      </c>
      <c r="S29" s="48">
        <f t="shared" si="10"/>
        <v>10.15</v>
      </c>
      <c r="T29" s="48">
        <f t="shared" si="11"/>
        <v>21</v>
      </c>
      <c r="U29" s="9"/>
      <c r="V29" s="38">
        <v>50000</v>
      </c>
      <c r="W29" s="65">
        <f t="shared" si="12"/>
        <v>13.81</v>
      </c>
      <c r="X29" s="66">
        <f t="shared" si="1"/>
        <v>3.66</v>
      </c>
    </row>
    <row r="30" spans="1:24" ht="12.75" customHeight="1">
      <c r="A30" s="1">
        <f t="shared" si="13"/>
        <v>23</v>
      </c>
      <c r="B30" s="50" t="s">
        <v>18</v>
      </c>
      <c r="C30" s="3">
        <v>0</v>
      </c>
      <c r="D30" s="3">
        <v>0</v>
      </c>
      <c r="E30" s="3">
        <v>0</v>
      </c>
      <c r="F30" s="3">
        <v>0</v>
      </c>
      <c r="G30" s="47">
        <f t="shared" si="2"/>
        <v>0</v>
      </c>
      <c r="H30" s="47">
        <f t="shared" si="3"/>
        <v>0</v>
      </c>
      <c r="I30" s="3"/>
      <c r="J30" s="3">
        <f>0.1+0.04</f>
        <v>0.14</v>
      </c>
      <c r="K30" s="3"/>
      <c r="L30" s="3">
        <f>3+1</f>
        <v>4</v>
      </c>
      <c r="M30" s="47">
        <f t="shared" si="4"/>
        <v>0.14</v>
      </c>
      <c r="N30" s="47">
        <f t="shared" si="5"/>
        <v>4</v>
      </c>
      <c r="O30" s="6">
        <f t="shared" si="6"/>
        <v>0</v>
      </c>
      <c r="P30" s="6">
        <f t="shared" si="7"/>
        <v>0.14</v>
      </c>
      <c r="Q30" s="6">
        <f t="shared" si="8"/>
        <v>0</v>
      </c>
      <c r="R30" s="6">
        <f t="shared" si="9"/>
        <v>4</v>
      </c>
      <c r="S30" s="48">
        <f t="shared" si="10"/>
        <v>0.14</v>
      </c>
      <c r="T30" s="48">
        <f t="shared" si="11"/>
        <v>4</v>
      </c>
      <c r="U30" s="9"/>
      <c r="V30" s="38">
        <v>50000</v>
      </c>
      <c r="W30" s="65">
        <f t="shared" si="12"/>
        <v>13.81</v>
      </c>
      <c r="X30" s="66">
        <f t="shared" si="1"/>
        <v>13.67</v>
      </c>
    </row>
    <row r="31" spans="1:24" ht="14.25" customHeight="1">
      <c r="A31" s="1">
        <f t="shared" si="13"/>
        <v>24</v>
      </c>
      <c r="B31" s="50" t="s">
        <v>32</v>
      </c>
      <c r="C31" s="3">
        <v>0.5</v>
      </c>
      <c r="D31" s="3">
        <v>0</v>
      </c>
      <c r="E31" s="3">
        <v>1</v>
      </c>
      <c r="F31" s="3">
        <v>0</v>
      </c>
      <c r="G31" s="47">
        <f t="shared" si="2"/>
        <v>0.5</v>
      </c>
      <c r="H31" s="47">
        <f t="shared" si="3"/>
        <v>1</v>
      </c>
      <c r="I31" s="3"/>
      <c r="J31" s="3"/>
      <c r="K31" s="3"/>
      <c r="L31" s="3"/>
      <c r="M31" s="47">
        <f t="shared" si="4"/>
        <v>0</v>
      </c>
      <c r="N31" s="47">
        <f t="shared" si="5"/>
        <v>0</v>
      </c>
      <c r="O31" s="6">
        <f t="shared" si="6"/>
        <v>0.5</v>
      </c>
      <c r="P31" s="6">
        <f t="shared" si="7"/>
        <v>0</v>
      </c>
      <c r="Q31" s="6">
        <f t="shared" si="8"/>
        <v>1</v>
      </c>
      <c r="R31" s="6">
        <f t="shared" si="9"/>
        <v>0</v>
      </c>
      <c r="S31" s="48">
        <f t="shared" si="10"/>
        <v>0.5</v>
      </c>
      <c r="T31" s="48">
        <f t="shared" si="11"/>
        <v>1</v>
      </c>
      <c r="U31" s="9"/>
      <c r="V31" s="38">
        <v>50000</v>
      </c>
      <c r="W31" s="65">
        <f t="shared" si="12"/>
        <v>13.81</v>
      </c>
      <c r="X31" s="66">
        <f t="shared" si="1"/>
        <v>13.31</v>
      </c>
    </row>
    <row r="32" spans="1:24" ht="12.75" customHeight="1">
      <c r="A32" s="1">
        <f t="shared" si="13"/>
        <v>25</v>
      </c>
      <c r="B32" s="50" t="s">
        <v>19</v>
      </c>
      <c r="C32" s="3">
        <v>0</v>
      </c>
      <c r="D32" s="3">
        <v>0</v>
      </c>
      <c r="E32" s="3">
        <v>0</v>
      </c>
      <c r="F32" s="3">
        <v>0</v>
      </c>
      <c r="G32" s="47">
        <f t="shared" si="2"/>
        <v>0</v>
      </c>
      <c r="H32" s="47">
        <f t="shared" si="3"/>
        <v>0</v>
      </c>
      <c r="I32" s="3">
        <f>0.43+0.06+0.08+0.04+0.04+0.08+0.06+0.08+0.05+0.01+0.08+0.04+0.06+0.06+0.04+0.04+0.14+0.17</f>
        <v>1.56</v>
      </c>
      <c r="J32" s="3">
        <f>0.06+0.06+0.85+1+1</f>
        <v>2.9699999999999998</v>
      </c>
      <c r="K32" s="3">
        <f>1+15+1+2</f>
        <v>19</v>
      </c>
      <c r="L32" s="3">
        <v>5</v>
      </c>
      <c r="M32" s="47">
        <f t="shared" si="4"/>
        <v>4.529999999999999</v>
      </c>
      <c r="N32" s="47">
        <f t="shared" si="5"/>
        <v>24</v>
      </c>
      <c r="O32" s="6">
        <f t="shared" si="6"/>
        <v>1.56</v>
      </c>
      <c r="P32" s="6">
        <f t="shared" si="7"/>
        <v>2.9699999999999998</v>
      </c>
      <c r="Q32" s="6">
        <f t="shared" si="8"/>
        <v>19</v>
      </c>
      <c r="R32" s="6">
        <f t="shared" si="9"/>
        <v>5</v>
      </c>
      <c r="S32" s="48">
        <f t="shared" si="10"/>
        <v>4.529999999999999</v>
      </c>
      <c r="T32" s="48">
        <f t="shared" si="11"/>
        <v>24</v>
      </c>
      <c r="U32" s="9"/>
      <c r="V32" s="38">
        <v>50000</v>
      </c>
      <c r="W32" s="65">
        <f t="shared" si="12"/>
        <v>13.81</v>
      </c>
      <c r="X32" s="66">
        <f t="shared" si="1"/>
        <v>9.280000000000001</v>
      </c>
    </row>
    <row r="33" spans="1:24" ht="14.25" customHeight="1">
      <c r="A33" s="1">
        <f t="shared" si="13"/>
        <v>26</v>
      </c>
      <c r="B33" s="50" t="s">
        <v>33</v>
      </c>
      <c r="C33" s="3">
        <v>11</v>
      </c>
      <c r="D33" s="3">
        <f>11+0.5+1+0.5+1+1+0.5+2+0.5</f>
        <v>18</v>
      </c>
      <c r="E33" s="3">
        <v>13</v>
      </c>
      <c r="F33" s="3">
        <f>5+1+1+1+1+2+1</f>
        <v>12</v>
      </c>
      <c r="G33" s="47">
        <f t="shared" si="2"/>
        <v>29</v>
      </c>
      <c r="H33" s="47">
        <f t="shared" si="3"/>
        <v>25</v>
      </c>
      <c r="I33" s="3">
        <f>1+0.1+0.04+0.1+0.12+0.08+0.1+0.1+0.1+0.2+0.04+0.5+0.5</f>
        <v>2.9800000000000004</v>
      </c>
      <c r="J33" s="3">
        <f>1.23+0.07+0.5+0.5</f>
        <v>2.3</v>
      </c>
      <c r="K33" s="3">
        <f>2+10+5+1</f>
        <v>18</v>
      </c>
      <c r="L33" s="3">
        <f>3+1+1</f>
        <v>5</v>
      </c>
      <c r="M33" s="47">
        <f t="shared" si="4"/>
        <v>5.28</v>
      </c>
      <c r="N33" s="47">
        <f t="shared" si="5"/>
        <v>23</v>
      </c>
      <c r="O33" s="6">
        <f t="shared" si="6"/>
        <v>13.98</v>
      </c>
      <c r="P33" s="6">
        <f t="shared" si="7"/>
        <v>20.3</v>
      </c>
      <c r="Q33" s="6">
        <f t="shared" si="8"/>
        <v>31</v>
      </c>
      <c r="R33" s="6">
        <f t="shared" si="9"/>
        <v>17</v>
      </c>
      <c r="S33" s="48">
        <f t="shared" si="10"/>
        <v>34.28</v>
      </c>
      <c r="T33" s="48">
        <f t="shared" si="11"/>
        <v>48</v>
      </c>
      <c r="U33" s="9"/>
      <c r="V33" s="38">
        <v>10000</v>
      </c>
      <c r="W33" s="65">
        <f t="shared" si="12"/>
        <v>69.03</v>
      </c>
      <c r="X33" s="66">
        <f t="shared" si="1"/>
        <v>34.75</v>
      </c>
    </row>
    <row r="34" spans="1:24" ht="15" customHeight="1">
      <c r="A34" s="1">
        <f t="shared" si="13"/>
        <v>27</v>
      </c>
      <c r="B34" s="50" t="s">
        <v>34</v>
      </c>
      <c r="C34" s="3">
        <v>0.5</v>
      </c>
      <c r="D34" s="3">
        <f>1+1+1</f>
        <v>3</v>
      </c>
      <c r="E34" s="3">
        <v>1</v>
      </c>
      <c r="F34" s="3">
        <f>1+1+1</f>
        <v>3</v>
      </c>
      <c r="G34" s="47">
        <f t="shared" si="2"/>
        <v>3.5</v>
      </c>
      <c r="H34" s="47">
        <f t="shared" si="3"/>
        <v>4</v>
      </c>
      <c r="I34" s="3">
        <v>0.18</v>
      </c>
      <c r="J34" s="3"/>
      <c r="K34" s="3">
        <v>2</v>
      </c>
      <c r="L34" s="3"/>
      <c r="M34" s="47">
        <f t="shared" si="4"/>
        <v>0.18</v>
      </c>
      <c r="N34" s="47">
        <f t="shared" si="5"/>
        <v>2</v>
      </c>
      <c r="O34" s="6">
        <f t="shared" si="6"/>
        <v>0.6799999999999999</v>
      </c>
      <c r="P34" s="6">
        <f t="shared" si="7"/>
        <v>3</v>
      </c>
      <c r="Q34" s="6">
        <f t="shared" si="8"/>
        <v>3</v>
      </c>
      <c r="R34" s="6">
        <f t="shared" si="9"/>
        <v>3</v>
      </c>
      <c r="S34" s="48">
        <f t="shared" si="10"/>
        <v>3.68</v>
      </c>
      <c r="T34" s="48">
        <f t="shared" si="11"/>
        <v>6</v>
      </c>
      <c r="U34" s="9"/>
      <c r="V34" s="38">
        <v>50000</v>
      </c>
      <c r="W34" s="65">
        <f t="shared" si="12"/>
        <v>13.81</v>
      </c>
      <c r="X34" s="66">
        <f t="shared" si="1"/>
        <v>10.13</v>
      </c>
    </row>
    <row r="35" spans="1:24" ht="13.5" customHeight="1">
      <c r="A35" s="1">
        <f t="shared" si="13"/>
        <v>28</v>
      </c>
      <c r="B35" s="50" t="s">
        <v>20</v>
      </c>
      <c r="C35" s="3">
        <v>0.5</v>
      </c>
      <c r="D35" s="3">
        <f>3+0.5+1</f>
        <v>4.5</v>
      </c>
      <c r="E35" s="3">
        <v>1</v>
      </c>
      <c r="F35" s="3">
        <f>6+1+1</f>
        <v>8</v>
      </c>
      <c r="G35" s="47">
        <f t="shared" si="2"/>
        <v>5</v>
      </c>
      <c r="H35" s="47">
        <f t="shared" si="3"/>
        <v>9</v>
      </c>
      <c r="I35" s="3">
        <f>1+3.99</f>
        <v>4.99</v>
      </c>
      <c r="J35" s="3">
        <v>0.37</v>
      </c>
      <c r="K35" s="3">
        <f>1+14</f>
        <v>15</v>
      </c>
      <c r="L35" s="3">
        <v>1</v>
      </c>
      <c r="M35" s="47">
        <f t="shared" si="4"/>
        <v>5.36</v>
      </c>
      <c r="N35" s="47">
        <f t="shared" si="5"/>
        <v>16</v>
      </c>
      <c r="O35" s="6">
        <f t="shared" si="6"/>
        <v>5.49</v>
      </c>
      <c r="P35" s="6">
        <f t="shared" si="7"/>
        <v>4.87</v>
      </c>
      <c r="Q35" s="6">
        <f t="shared" si="8"/>
        <v>16</v>
      </c>
      <c r="R35" s="6">
        <f t="shared" si="9"/>
        <v>9</v>
      </c>
      <c r="S35" s="48">
        <f t="shared" si="10"/>
        <v>10.36</v>
      </c>
      <c r="T35" s="48">
        <f t="shared" si="11"/>
        <v>25</v>
      </c>
      <c r="U35" s="9"/>
      <c r="V35" s="38">
        <v>10000</v>
      </c>
      <c r="W35" s="65">
        <f t="shared" si="12"/>
        <v>69.03</v>
      </c>
      <c r="X35" s="66">
        <f t="shared" si="1"/>
        <v>58.67</v>
      </c>
    </row>
    <row r="36" spans="1:24" ht="24.75" customHeight="1">
      <c r="A36" s="1">
        <f t="shared" si="13"/>
        <v>29</v>
      </c>
      <c r="B36" s="50" t="s">
        <v>21</v>
      </c>
      <c r="C36" s="3">
        <v>0</v>
      </c>
      <c r="D36" s="3">
        <v>0</v>
      </c>
      <c r="E36" s="3">
        <v>0</v>
      </c>
      <c r="F36" s="3">
        <v>0</v>
      </c>
      <c r="G36" s="47">
        <f t="shared" si="2"/>
        <v>0</v>
      </c>
      <c r="H36" s="47">
        <f t="shared" si="3"/>
        <v>0</v>
      </c>
      <c r="I36" s="3"/>
      <c r="J36" s="3">
        <v>0.03</v>
      </c>
      <c r="K36" s="3"/>
      <c r="L36" s="3">
        <v>1</v>
      </c>
      <c r="M36" s="47">
        <f t="shared" si="4"/>
        <v>0.03</v>
      </c>
      <c r="N36" s="47">
        <f t="shared" si="5"/>
        <v>1</v>
      </c>
      <c r="O36" s="6">
        <f t="shared" si="6"/>
        <v>0</v>
      </c>
      <c r="P36" s="6">
        <f t="shared" si="7"/>
        <v>0.03</v>
      </c>
      <c r="Q36" s="6">
        <f t="shared" si="8"/>
        <v>0</v>
      </c>
      <c r="R36" s="6">
        <f t="shared" si="9"/>
        <v>1</v>
      </c>
      <c r="S36" s="48">
        <f t="shared" si="10"/>
        <v>0.03</v>
      </c>
      <c r="T36" s="48">
        <f t="shared" si="11"/>
        <v>1</v>
      </c>
      <c r="U36" s="9"/>
      <c r="V36" s="38">
        <v>50000</v>
      </c>
      <c r="W36" s="65">
        <f t="shared" si="12"/>
        <v>13.81</v>
      </c>
      <c r="X36" s="66">
        <f t="shared" si="1"/>
        <v>13.780000000000001</v>
      </c>
    </row>
    <row r="37" spans="1:24" ht="15" customHeight="1">
      <c r="A37" s="1">
        <f t="shared" si="13"/>
        <v>30</v>
      </c>
      <c r="B37" s="50" t="s">
        <v>35</v>
      </c>
      <c r="C37" s="3">
        <f>13+0.5+1+2.5</f>
        <v>17</v>
      </c>
      <c r="D37" s="3">
        <f>12.5+1+1+1+0.5+0.25+12.5+1+1+1+0.5+0.5</f>
        <v>32.75</v>
      </c>
      <c r="E37" s="3">
        <f>17+2+1</f>
        <v>20</v>
      </c>
      <c r="F37" s="3">
        <f>15+1+1+1+1+1+1+1+1+1</f>
        <v>24</v>
      </c>
      <c r="G37" s="47">
        <f t="shared" si="2"/>
        <v>49.75</v>
      </c>
      <c r="H37" s="47">
        <f t="shared" si="3"/>
        <v>44</v>
      </c>
      <c r="I37" s="3">
        <f>1.05+4.03+5.26+1+1+0.94+1.14+1</f>
        <v>15.42</v>
      </c>
      <c r="J37" s="3">
        <f>1+0.77+1+0.43</f>
        <v>3.2</v>
      </c>
      <c r="K37" s="3">
        <f>33+3+4+1</f>
        <v>41</v>
      </c>
      <c r="L37" s="3">
        <f>6+2</f>
        <v>8</v>
      </c>
      <c r="M37" s="47">
        <f t="shared" si="4"/>
        <v>18.62</v>
      </c>
      <c r="N37" s="47">
        <f t="shared" si="5"/>
        <v>49</v>
      </c>
      <c r="O37" s="6">
        <f t="shared" si="6"/>
        <v>32.42</v>
      </c>
      <c r="P37" s="6">
        <f t="shared" si="7"/>
        <v>35.95</v>
      </c>
      <c r="Q37" s="6">
        <f t="shared" si="8"/>
        <v>61</v>
      </c>
      <c r="R37" s="6">
        <f t="shared" si="9"/>
        <v>32</v>
      </c>
      <c r="S37" s="48">
        <f t="shared" si="10"/>
        <v>68.37</v>
      </c>
      <c r="T37" s="48">
        <f t="shared" si="11"/>
        <v>93</v>
      </c>
      <c r="U37" s="9"/>
      <c r="V37" s="38">
        <v>10000</v>
      </c>
      <c r="W37" s="65">
        <f t="shared" si="12"/>
        <v>69.03</v>
      </c>
      <c r="X37" s="66">
        <f t="shared" si="1"/>
        <v>0.6599999999999966</v>
      </c>
    </row>
    <row r="38" spans="1:24" ht="15" customHeight="1">
      <c r="A38" s="1">
        <f t="shared" si="13"/>
        <v>31</v>
      </c>
      <c r="B38" s="50" t="s">
        <v>36</v>
      </c>
      <c r="C38" s="3">
        <v>15.75</v>
      </c>
      <c r="D38" s="3">
        <f>15.25+0.5+0.5+1+1+1+1+1+1+1+0.5+0.28+1+1+0.5</f>
        <v>26.53</v>
      </c>
      <c r="E38" s="3">
        <v>17</v>
      </c>
      <c r="F38" s="3">
        <f>17+1+1+1+1+1+1+2+1+1</f>
        <v>27</v>
      </c>
      <c r="G38" s="47">
        <f t="shared" si="2"/>
        <v>42.28</v>
      </c>
      <c r="H38" s="47">
        <f t="shared" si="3"/>
        <v>44</v>
      </c>
      <c r="I38" s="3">
        <f>3+0.17+0.14+0.14+0.11+0.14+0.11+0.25+1</f>
        <v>5.0600000000000005</v>
      </c>
      <c r="J38" s="3">
        <f>0.76+1.34+0.14+0.5+1+1+1+0.02</f>
        <v>5.76</v>
      </c>
      <c r="K38" s="3">
        <f>3+7+1</f>
        <v>11</v>
      </c>
      <c r="L38" s="3">
        <v>9</v>
      </c>
      <c r="M38" s="47">
        <f t="shared" si="4"/>
        <v>10.82</v>
      </c>
      <c r="N38" s="47">
        <f t="shared" si="5"/>
        <v>20</v>
      </c>
      <c r="O38" s="6">
        <f t="shared" si="6"/>
        <v>20.810000000000002</v>
      </c>
      <c r="P38" s="6">
        <f t="shared" si="7"/>
        <v>32.29</v>
      </c>
      <c r="Q38" s="6">
        <f t="shared" si="8"/>
        <v>28</v>
      </c>
      <c r="R38" s="6">
        <f t="shared" si="9"/>
        <v>36</v>
      </c>
      <c r="S38" s="48">
        <f t="shared" si="10"/>
        <v>53.1</v>
      </c>
      <c r="T38" s="48">
        <f t="shared" si="11"/>
        <v>64</v>
      </c>
      <c r="U38" s="9"/>
      <c r="V38" s="38">
        <v>10000</v>
      </c>
      <c r="W38" s="65">
        <f t="shared" si="12"/>
        <v>69.03</v>
      </c>
      <c r="X38" s="66">
        <f t="shared" si="1"/>
        <v>15.93</v>
      </c>
    </row>
    <row r="39" spans="1:24" ht="15" customHeight="1">
      <c r="A39" s="1">
        <f t="shared" si="13"/>
        <v>32</v>
      </c>
      <c r="B39" s="50" t="s">
        <v>22</v>
      </c>
      <c r="C39" s="3">
        <v>11</v>
      </c>
      <c r="D39" s="3">
        <f>10+0.5+1+1+1+1+0.5-1</f>
        <v>14</v>
      </c>
      <c r="E39" s="3">
        <f>13</f>
        <v>13</v>
      </c>
      <c r="F39" s="3">
        <v>-1</v>
      </c>
      <c r="G39" s="47">
        <f t="shared" si="2"/>
        <v>25</v>
      </c>
      <c r="H39" s="47">
        <f t="shared" si="3"/>
        <v>12</v>
      </c>
      <c r="I39" s="3">
        <f>3.59+0.5+0.41+1+1+0.47+1.26</f>
        <v>8.23</v>
      </c>
      <c r="J39" s="3">
        <f>0.71+1</f>
        <v>1.71</v>
      </c>
      <c r="K39" s="3">
        <f>8+2+1+7+1+1+2+4</f>
        <v>26</v>
      </c>
      <c r="L39" s="3">
        <v>2</v>
      </c>
      <c r="M39" s="47">
        <f t="shared" si="4"/>
        <v>9.940000000000001</v>
      </c>
      <c r="N39" s="47">
        <f t="shared" si="5"/>
        <v>28</v>
      </c>
      <c r="O39" s="6">
        <f t="shared" si="6"/>
        <v>19.23</v>
      </c>
      <c r="P39" s="6">
        <f t="shared" si="7"/>
        <v>15.71</v>
      </c>
      <c r="Q39" s="6">
        <f t="shared" si="8"/>
        <v>39</v>
      </c>
      <c r="R39" s="6">
        <f t="shared" si="9"/>
        <v>1</v>
      </c>
      <c r="S39" s="48">
        <f t="shared" si="10"/>
        <v>34.94</v>
      </c>
      <c r="T39" s="48">
        <f t="shared" si="11"/>
        <v>40</v>
      </c>
      <c r="U39" s="9"/>
      <c r="V39" s="38">
        <v>10000</v>
      </c>
      <c r="W39" s="65">
        <f t="shared" si="12"/>
        <v>69.03</v>
      </c>
      <c r="X39" s="66">
        <f t="shared" si="1"/>
        <v>34.09</v>
      </c>
    </row>
    <row r="40" spans="1:24" ht="12.75" customHeight="1">
      <c r="A40" s="1">
        <f t="shared" si="13"/>
        <v>33</v>
      </c>
      <c r="B40" s="50" t="s">
        <v>23</v>
      </c>
      <c r="C40" s="3">
        <v>3</v>
      </c>
      <c r="D40" s="3">
        <f>1+0.5+1</f>
        <v>2.5</v>
      </c>
      <c r="E40" s="3">
        <v>4</v>
      </c>
      <c r="F40" s="3">
        <f>1+1+1</f>
        <v>3</v>
      </c>
      <c r="G40" s="47">
        <f t="shared" si="2"/>
        <v>5.5</v>
      </c>
      <c r="H40" s="47">
        <f t="shared" si="3"/>
        <v>7</v>
      </c>
      <c r="I40" s="3">
        <f>2.69+0.51+0.68</f>
        <v>3.8800000000000003</v>
      </c>
      <c r="J40" s="3">
        <f>1+0.31+0.11</f>
        <v>1.4200000000000002</v>
      </c>
      <c r="K40" s="3">
        <f>11+5+2</f>
        <v>18</v>
      </c>
      <c r="L40" s="3">
        <v>6</v>
      </c>
      <c r="M40" s="47">
        <f t="shared" si="4"/>
        <v>5.300000000000001</v>
      </c>
      <c r="N40" s="47">
        <f t="shared" si="5"/>
        <v>24</v>
      </c>
      <c r="O40" s="6">
        <f t="shared" si="6"/>
        <v>6.880000000000001</v>
      </c>
      <c r="P40" s="6">
        <f t="shared" si="7"/>
        <v>3.92</v>
      </c>
      <c r="Q40" s="6">
        <f t="shared" si="8"/>
        <v>22</v>
      </c>
      <c r="R40" s="6">
        <f t="shared" si="9"/>
        <v>9</v>
      </c>
      <c r="S40" s="48">
        <f t="shared" si="10"/>
        <v>10.8</v>
      </c>
      <c r="T40" s="48">
        <f t="shared" si="11"/>
        <v>31</v>
      </c>
      <c r="U40" s="9"/>
      <c r="V40" s="38">
        <v>50000</v>
      </c>
      <c r="W40" s="65">
        <f t="shared" si="12"/>
        <v>13.81</v>
      </c>
      <c r="X40" s="66">
        <f t="shared" si="1"/>
        <v>3.01</v>
      </c>
    </row>
    <row r="41" spans="1:24" ht="15" customHeight="1">
      <c r="A41" s="1">
        <f t="shared" si="13"/>
        <v>34</v>
      </c>
      <c r="B41" s="50" t="s">
        <v>24</v>
      </c>
      <c r="C41" s="3">
        <v>0</v>
      </c>
      <c r="D41" s="3">
        <f>0.5+1</f>
        <v>1.5</v>
      </c>
      <c r="E41" s="3">
        <v>0</v>
      </c>
      <c r="F41" s="3">
        <f>1+1</f>
        <v>2</v>
      </c>
      <c r="G41" s="47">
        <f t="shared" si="2"/>
        <v>1.5</v>
      </c>
      <c r="H41" s="47">
        <f t="shared" si="3"/>
        <v>2</v>
      </c>
      <c r="I41" s="3">
        <f>0.34+0.43+0.27</f>
        <v>1.04</v>
      </c>
      <c r="J41" s="3">
        <v>0.09</v>
      </c>
      <c r="K41" s="3">
        <f>4+5+3</f>
        <v>12</v>
      </c>
      <c r="L41" s="3">
        <v>1</v>
      </c>
      <c r="M41" s="47">
        <f t="shared" si="4"/>
        <v>1.1300000000000001</v>
      </c>
      <c r="N41" s="47">
        <f t="shared" si="5"/>
        <v>13</v>
      </c>
      <c r="O41" s="6">
        <f t="shared" si="6"/>
        <v>1.04</v>
      </c>
      <c r="P41" s="6">
        <f t="shared" si="7"/>
        <v>1.59</v>
      </c>
      <c r="Q41" s="6">
        <f t="shared" si="8"/>
        <v>12</v>
      </c>
      <c r="R41" s="6">
        <f t="shared" si="9"/>
        <v>3</v>
      </c>
      <c r="S41" s="48">
        <f t="shared" si="10"/>
        <v>2.63</v>
      </c>
      <c r="T41" s="48">
        <f t="shared" si="11"/>
        <v>15</v>
      </c>
      <c r="U41" s="9"/>
      <c r="V41" s="38">
        <v>50000</v>
      </c>
      <c r="W41" s="65">
        <f t="shared" si="12"/>
        <v>13.81</v>
      </c>
      <c r="X41" s="66">
        <f t="shared" si="1"/>
        <v>11.18</v>
      </c>
    </row>
    <row r="42" spans="1:24" ht="15.75" customHeight="1">
      <c r="A42" s="1">
        <f t="shared" si="13"/>
        <v>35</v>
      </c>
      <c r="B42" s="50" t="s">
        <v>37</v>
      </c>
      <c r="C42" s="3">
        <v>9.5</v>
      </c>
      <c r="D42" s="3">
        <f>4.5+0.5+1+1+1+1+1+0.5</f>
        <v>10.5</v>
      </c>
      <c r="E42" s="3">
        <v>14</v>
      </c>
      <c r="F42" s="3">
        <f>6+2+1+2+1+1+1</f>
        <v>14</v>
      </c>
      <c r="G42" s="47">
        <f t="shared" si="2"/>
        <v>20</v>
      </c>
      <c r="H42" s="47">
        <f t="shared" si="3"/>
        <v>28</v>
      </c>
      <c r="I42" s="3">
        <f>2.5+0.8+1+3.4+0.3</f>
        <v>7.999999999999999</v>
      </c>
      <c r="J42" s="3">
        <f>1+0.2+0.17+1</f>
        <v>2.37</v>
      </c>
      <c r="K42" s="3">
        <f>3+4+1+19+2</f>
        <v>29</v>
      </c>
      <c r="L42" s="3">
        <f>2+2+1</f>
        <v>5</v>
      </c>
      <c r="M42" s="47">
        <f t="shared" si="4"/>
        <v>10.37</v>
      </c>
      <c r="N42" s="47">
        <f t="shared" si="5"/>
        <v>34</v>
      </c>
      <c r="O42" s="6">
        <f t="shared" si="6"/>
        <v>17.5</v>
      </c>
      <c r="P42" s="6">
        <f t="shared" si="7"/>
        <v>12.870000000000001</v>
      </c>
      <c r="Q42" s="6">
        <f t="shared" si="8"/>
        <v>43</v>
      </c>
      <c r="R42" s="6">
        <f t="shared" si="9"/>
        <v>19</v>
      </c>
      <c r="S42" s="48">
        <f t="shared" si="10"/>
        <v>30.369999999999997</v>
      </c>
      <c r="T42" s="48">
        <f t="shared" si="11"/>
        <v>62</v>
      </c>
      <c r="U42" s="9"/>
      <c r="V42" s="38">
        <v>10000</v>
      </c>
      <c r="W42" s="65">
        <f t="shared" si="12"/>
        <v>69.03</v>
      </c>
      <c r="X42" s="66">
        <f t="shared" si="1"/>
        <v>38.660000000000004</v>
      </c>
    </row>
    <row r="43" spans="1:24" ht="12" customHeight="1">
      <c r="A43" s="1">
        <f t="shared" si="13"/>
        <v>36</v>
      </c>
      <c r="B43" s="50" t="s">
        <v>39</v>
      </c>
      <c r="C43" s="3">
        <f>3+0.25+0.5+0.25-1</f>
        <v>3</v>
      </c>
      <c r="D43" s="3">
        <f>7.5+1+0.25+1-1</f>
        <v>8.75</v>
      </c>
      <c r="E43" s="3">
        <v>4</v>
      </c>
      <c r="F43" s="3">
        <f>9+1+2-1+1</f>
        <v>12</v>
      </c>
      <c r="G43" s="47">
        <f t="shared" si="2"/>
        <v>11.75</v>
      </c>
      <c r="H43" s="47">
        <f t="shared" si="3"/>
        <v>16</v>
      </c>
      <c r="I43" s="3">
        <f>2.1+2.28+0.26</f>
        <v>4.64</v>
      </c>
      <c r="J43" s="3">
        <f>0.17+1+1</f>
        <v>2.17</v>
      </c>
      <c r="K43" s="3">
        <f>5+14+3</f>
        <v>22</v>
      </c>
      <c r="L43" s="3">
        <f>3+1</f>
        <v>4</v>
      </c>
      <c r="M43" s="47">
        <f t="shared" si="4"/>
        <v>6.81</v>
      </c>
      <c r="N43" s="47">
        <f t="shared" si="5"/>
        <v>26</v>
      </c>
      <c r="O43" s="6">
        <f t="shared" si="6"/>
        <v>7.64</v>
      </c>
      <c r="P43" s="6">
        <f t="shared" si="7"/>
        <v>10.92</v>
      </c>
      <c r="Q43" s="6">
        <f t="shared" si="8"/>
        <v>26</v>
      </c>
      <c r="R43" s="6">
        <f t="shared" si="9"/>
        <v>16</v>
      </c>
      <c r="S43" s="48">
        <f t="shared" si="10"/>
        <v>18.56</v>
      </c>
      <c r="T43" s="48">
        <f t="shared" si="11"/>
        <v>42</v>
      </c>
      <c r="U43" s="9"/>
      <c r="V43" s="38">
        <v>10000</v>
      </c>
      <c r="W43" s="65">
        <f t="shared" si="12"/>
        <v>69.03</v>
      </c>
      <c r="X43" s="66">
        <f t="shared" si="1"/>
        <v>50.47</v>
      </c>
    </row>
    <row r="44" spans="1:24" ht="14.25" customHeight="1">
      <c r="A44" s="1">
        <f t="shared" si="13"/>
        <v>37</v>
      </c>
      <c r="B44" s="50" t="s">
        <v>25</v>
      </c>
      <c r="C44" s="3">
        <v>0</v>
      </c>
      <c r="D44" s="3">
        <v>0</v>
      </c>
      <c r="E44" s="3">
        <v>0</v>
      </c>
      <c r="F44" s="3">
        <v>0</v>
      </c>
      <c r="G44" s="47">
        <f t="shared" si="2"/>
        <v>0</v>
      </c>
      <c r="H44" s="47">
        <f t="shared" si="3"/>
        <v>0</v>
      </c>
      <c r="I44" s="3">
        <v>0.12</v>
      </c>
      <c r="J44" s="3">
        <v>0.12</v>
      </c>
      <c r="K44" s="3">
        <v>3</v>
      </c>
      <c r="L44" s="3">
        <v>3</v>
      </c>
      <c r="M44" s="47">
        <f t="shared" si="4"/>
        <v>0.24</v>
      </c>
      <c r="N44" s="47">
        <f t="shared" si="5"/>
        <v>6</v>
      </c>
      <c r="O44" s="6">
        <f t="shared" si="6"/>
        <v>0.12</v>
      </c>
      <c r="P44" s="6">
        <f t="shared" si="7"/>
        <v>0.12</v>
      </c>
      <c r="Q44" s="6">
        <f t="shared" si="8"/>
        <v>3</v>
      </c>
      <c r="R44" s="6">
        <f t="shared" si="9"/>
        <v>3</v>
      </c>
      <c r="S44" s="48">
        <f t="shared" si="10"/>
        <v>0.24</v>
      </c>
      <c r="T44" s="48">
        <f t="shared" si="11"/>
        <v>6</v>
      </c>
      <c r="U44" s="9"/>
      <c r="V44" s="38">
        <v>50000</v>
      </c>
      <c r="W44" s="65">
        <f t="shared" si="12"/>
        <v>13.81</v>
      </c>
      <c r="X44" s="66">
        <f t="shared" si="1"/>
        <v>13.57</v>
      </c>
    </row>
    <row r="45" spans="1:24" ht="12.75" customHeight="1">
      <c r="A45" s="1">
        <f t="shared" si="13"/>
        <v>38</v>
      </c>
      <c r="B45" s="50" t="s">
        <v>40</v>
      </c>
      <c r="C45" s="3">
        <f>32+1+0.5+0.5+0.5+1+1</f>
        <v>36.5</v>
      </c>
      <c r="D45" s="3">
        <f>29.5+0.5+0.5+1+0.5+0.5+0.5+0.5+2+2+1+0.5+1+1</f>
        <v>41</v>
      </c>
      <c r="E45" s="3">
        <f>49+1+1+1+2</f>
        <v>54</v>
      </c>
      <c r="F45" s="3">
        <f>38+1+1+1+1+1+2+2+1+1+1+1</f>
        <v>51</v>
      </c>
      <c r="G45" s="47">
        <f t="shared" si="2"/>
        <v>77.5</v>
      </c>
      <c r="H45" s="47">
        <f t="shared" si="3"/>
        <v>105</v>
      </c>
      <c r="I45" s="3">
        <f>2+0.5+2.57+0.71</f>
        <v>5.78</v>
      </c>
      <c r="J45" s="3">
        <f>1+0.42+1+1</f>
        <v>3.42</v>
      </c>
      <c r="K45" s="3">
        <v>11</v>
      </c>
      <c r="L45" s="3">
        <f>4+1</f>
        <v>5</v>
      </c>
      <c r="M45" s="47">
        <f t="shared" si="4"/>
        <v>9.2</v>
      </c>
      <c r="N45" s="47">
        <f t="shared" si="5"/>
        <v>16</v>
      </c>
      <c r="O45" s="6">
        <f t="shared" si="6"/>
        <v>42.28</v>
      </c>
      <c r="P45" s="6">
        <f t="shared" si="7"/>
        <v>44.42</v>
      </c>
      <c r="Q45" s="6">
        <f t="shared" si="8"/>
        <v>65</v>
      </c>
      <c r="R45" s="6">
        <f t="shared" si="9"/>
        <v>56</v>
      </c>
      <c r="S45" s="48">
        <f t="shared" si="10"/>
        <v>86.7</v>
      </c>
      <c r="T45" s="48">
        <f t="shared" si="11"/>
        <v>121</v>
      </c>
      <c r="U45" s="9"/>
      <c r="V45" s="38">
        <v>10000</v>
      </c>
      <c r="W45" s="65">
        <f t="shared" si="12"/>
        <v>69.03</v>
      </c>
      <c r="X45" s="66">
        <f t="shared" si="1"/>
        <v>-17.67</v>
      </c>
    </row>
    <row r="46" spans="1:24" ht="12" customHeight="1">
      <c r="A46" s="1">
        <f t="shared" si="13"/>
        <v>39</v>
      </c>
      <c r="B46" s="50" t="s">
        <v>41</v>
      </c>
      <c r="C46" s="3">
        <v>1.5</v>
      </c>
      <c r="D46" s="3">
        <f>0+0.5+1+0.5</f>
        <v>2</v>
      </c>
      <c r="E46" s="3">
        <v>2</v>
      </c>
      <c r="F46" s="3">
        <f>0+1+1</f>
        <v>2</v>
      </c>
      <c r="G46" s="47">
        <f t="shared" si="2"/>
        <v>3.5</v>
      </c>
      <c r="H46" s="47">
        <f t="shared" si="3"/>
        <v>4</v>
      </c>
      <c r="I46" s="3">
        <f>1+1</f>
        <v>2</v>
      </c>
      <c r="J46" s="3"/>
      <c r="K46" s="3">
        <f>1+1</f>
        <v>2</v>
      </c>
      <c r="L46" s="3"/>
      <c r="M46" s="47">
        <f t="shared" si="4"/>
        <v>2</v>
      </c>
      <c r="N46" s="47">
        <f t="shared" si="5"/>
        <v>2</v>
      </c>
      <c r="O46" s="6">
        <f t="shared" si="6"/>
        <v>3.5</v>
      </c>
      <c r="P46" s="6">
        <f t="shared" si="7"/>
        <v>2</v>
      </c>
      <c r="Q46" s="6">
        <f t="shared" si="8"/>
        <v>4</v>
      </c>
      <c r="R46" s="6">
        <f t="shared" si="9"/>
        <v>2</v>
      </c>
      <c r="S46" s="48">
        <f t="shared" si="10"/>
        <v>5.5</v>
      </c>
      <c r="T46" s="48">
        <f t="shared" si="11"/>
        <v>6</v>
      </c>
      <c r="U46" s="9"/>
      <c r="V46" s="38">
        <v>50000</v>
      </c>
      <c r="W46" s="65">
        <f t="shared" si="12"/>
        <v>13.81</v>
      </c>
      <c r="X46" s="66">
        <f t="shared" si="1"/>
        <v>8.31</v>
      </c>
    </row>
    <row r="47" spans="1:24" ht="13.5" customHeight="1">
      <c r="A47" s="1">
        <f t="shared" si="13"/>
        <v>40</v>
      </c>
      <c r="B47" s="50" t="s">
        <v>42</v>
      </c>
      <c r="C47" s="3">
        <v>0</v>
      </c>
      <c r="D47" s="3">
        <v>3</v>
      </c>
      <c r="E47" s="3">
        <v>0</v>
      </c>
      <c r="F47" s="3">
        <v>3</v>
      </c>
      <c r="G47" s="47">
        <f t="shared" si="2"/>
        <v>3</v>
      </c>
      <c r="H47" s="47">
        <f t="shared" si="3"/>
        <v>3</v>
      </c>
      <c r="I47" s="3">
        <v>1.01</v>
      </c>
      <c r="J47" s="3">
        <v>0.44</v>
      </c>
      <c r="K47" s="3">
        <v>6</v>
      </c>
      <c r="L47" s="3">
        <v>3</v>
      </c>
      <c r="M47" s="47">
        <f t="shared" si="4"/>
        <v>1.45</v>
      </c>
      <c r="N47" s="47">
        <f t="shared" si="5"/>
        <v>9</v>
      </c>
      <c r="O47" s="6">
        <f t="shared" si="6"/>
        <v>1.01</v>
      </c>
      <c r="P47" s="6">
        <f t="shared" si="7"/>
        <v>3.44</v>
      </c>
      <c r="Q47" s="6">
        <f t="shared" si="8"/>
        <v>6</v>
      </c>
      <c r="R47" s="6">
        <f t="shared" si="9"/>
        <v>6</v>
      </c>
      <c r="S47" s="48">
        <f t="shared" si="10"/>
        <v>4.45</v>
      </c>
      <c r="T47" s="48">
        <f t="shared" si="11"/>
        <v>12</v>
      </c>
      <c r="U47" s="9"/>
      <c r="V47" s="38">
        <v>50000</v>
      </c>
      <c r="W47" s="65">
        <f t="shared" si="12"/>
        <v>13.81</v>
      </c>
      <c r="X47" s="66">
        <f t="shared" si="1"/>
        <v>9.36</v>
      </c>
    </row>
    <row r="48" spans="1:24" ht="12.75" customHeight="1">
      <c r="A48" s="1">
        <f t="shared" si="13"/>
        <v>41</v>
      </c>
      <c r="B48" s="50" t="s">
        <v>43</v>
      </c>
      <c r="C48" s="3">
        <v>6.5</v>
      </c>
      <c r="D48" s="3">
        <f>13.75+1+1+1+1+1+0.5</f>
        <v>19.25</v>
      </c>
      <c r="E48" s="3">
        <v>7</v>
      </c>
      <c r="F48" s="3">
        <f>17+1+1+1+1+1+1</f>
        <v>23</v>
      </c>
      <c r="G48" s="47">
        <f t="shared" si="2"/>
        <v>25.75</v>
      </c>
      <c r="H48" s="47">
        <f t="shared" si="3"/>
        <v>30</v>
      </c>
      <c r="I48" s="3">
        <v>1.5</v>
      </c>
      <c r="J48" s="3">
        <f>0.12+0.5+1</f>
        <v>1.62</v>
      </c>
      <c r="K48" s="3">
        <v>10</v>
      </c>
      <c r="L48" s="3">
        <v>4</v>
      </c>
      <c r="M48" s="47">
        <f t="shared" si="4"/>
        <v>3.12</v>
      </c>
      <c r="N48" s="47">
        <f t="shared" si="5"/>
        <v>14</v>
      </c>
      <c r="O48" s="6">
        <f t="shared" si="6"/>
        <v>8</v>
      </c>
      <c r="P48" s="6">
        <f t="shared" si="7"/>
        <v>20.87</v>
      </c>
      <c r="Q48" s="6">
        <f t="shared" si="8"/>
        <v>17</v>
      </c>
      <c r="R48" s="6">
        <f t="shared" si="9"/>
        <v>27</v>
      </c>
      <c r="S48" s="48">
        <f t="shared" si="10"/>
        <v>28.87</v>
      </c>
      <c r="T48" s="48">
        <f t="shared" si="11"/>
        <v>44</v>
      </c>
      <c r="U48" s="9"/>
      <c r="V48" s="38">
        <v>10000</v>
      </c>
      <c r="W48" s="65">
        <f t="shared" si="12"/>
        <v>69.03</v>
      </c>
      <c r="X48" s="66">
        <f t="shared" si="1"/>
        <v>40.16</v>
      </c>
    </row>
    <row r="49" spans="1:24" ht="13.5" customHeight="1">
      <c r="A49" s="1">
        <f t="shared" si="13"/>
        <v>42</v>
      </c>
      <c r="B49" s="50" t="s">
        <v>44</v>
      </c>
      <c r="C49" s="3">
        <v>0.5</v>
      </c>
      <c r="D49" s="3">
        <f>1.5+1+1+1</f>
        <v>4.5</v>
      </c>
      <c r="E49" s="3">
        <v>1</v>
      </c>
      <c r="F49" s="3">
        <f>2+1+1+1</f>
        <v>5</v>
      </c>
      <c r="G49" s="47">
        <f t="shared" si="2"/>
        <v>5</v>
      </c>
      <c r="H49" s="47">
        <f t="shared" si="3"/>
        <v>6</v>
      </c>
      <c r="I49" s="3">
        <f>1+1.61+0.66+0.06</f>
        <v>3.3300000000000005</v>
      </c>
      <c r="J49" s="3">
        <f>1+0.03</f>
        <v>1.03</v>
      </c>
      <c r="K49" s="3">
        <f>1+12+2+2</f>
        <v>17</v>
      </c>
      <c r="L49" s="3">
        <f>1+1</f>
        <v>2</v>
      </c>
      <c r="M49" s="47">
        <f t="shared" si="4"/>
        <v>4.36</v>
      </c>
      <c r="N49" s="47">
        <f t="shared" si="5"/>
        <v>19</v>
      </c>
      <c r="O49" s="6">
        <f t="shared" si="6"/>
        <v>3.8300000000000005</v>
      </c>
      <c r="P49" s="6">
        <f t="shared" si="7"/>
        <v>5.53</v>
      </c>
      <c r="Q49" s="6">
        <f t="shared" si="8"/>
        <v>18</v>
      </c>
      <c r="R49" s="6">
        <f t="shared" si="9"/>
        <v>7</v>
      </c>
      <c r="S49" s="48">
        <f t="shared" si="10"/>
        <v>9.36</v>
      </c>
      <c r="T49" s="48">
        <f t="shared" si="11"/>
        <v>25</v>
      </c>
      <c r="U49" s="9"/>
      <c r="V49" s="38">
        <v>50000</v>
      </c>
      <c r="W49" s="65">
        <f t="shared" si="12"/>
        <v>13.81</v>
      </c>
      <c r="X49" s="66">
        <f t="shared" si="1"/>
        <v>4.450000000000001</v>
      </c>
    </row>
    <row r="50" spans="1:24" ht="13.5" customHeight="1">
      <c r="A50" s="1">
        <f t="shared" si="13"/>
        <v>43</v>
      </c>
      <c r="B50" s="51" t="s">
        <v>64</v>
      </c>
      <c r="C50" s="45">
        <v>14.5</v>
      </c>
      <c r="D50" s="45">
        <f>20+0.5+1+0.5</f>
        <v>22</v>
      </c>
      <c r="E50" s="45">
        <v>17</v>
      </c>
      <c r="F50" s="45">
        <f>21+1+1</f>
        <v>23</v>
      </c>
      <c r="G50" s="47">
        <f>C50+D50</f>
        <v>36.5</v>
      </c>
      <c r="H50" s="47">
        <f>E50+F50</f>
        <v>40</v>
      </c>
      <c r="I50" s="45">
        <f>1+1+1.77+0.5+1+1</f>
        <v>6.27</v>
      </c>
      <c r="J50" s="45">
        <f>0.5+0.5+0.25</f>
        <v>1.25</v>
      </c>
      <c r="K50" s="45">
        <f>1+2+9+1+2+1</f>
        <v>16</v>
      </c>
      <c r="L50" s="45">
        <f>1+1+1</f>
        <v>3</v>
      </c>
      <c r="M50" s="47">
        <f t="shared" si="4"/>
        <v>7.52</v>
      </c>
      <c r="N50" s="47">
        <f t="shared" si="5"/>
        <v>19</v>
      </c>
      <c r="O50" s="6">
        <f>C50+I50</f>
        <v>20.77</v>
      </c>
      <c r="P50" s="6">
        <f>D50+J50</f>
        <v>23.25</v>
      </c>
      <c r="Q50" s="6">
        <f>E50+K50</f>
        <v>33</v>
      </c>
      <c r="R50" s="6">
        <f>F50+L50</f>
        <v>26</v>
      </c>
      <c r="S50" s="48">
        <f>G50+M50</f>
        <v>44.019999999999996</v>
      </c>
      <c r="T50" s="48">
        <f t="shared" si="11"/>
        <v>59</v>
      </c>
      <c r="U50" s="46"/>
      <c r="V50" s="38">
        <v>10000</v>
      </c>
      <c r="W50" s="65">
        <f t="shared" si="12"/>
        <v>69.03</v>
      </c>
      <c r="X50" s="66">
        <f t="shared" si="1"/>
        <v>25.010000000000005</v>
      </c>
    </row>
    <row r="51" spans="1:24" ht="13.5" customHeight="1">
      <c r="A51" s="1">
        <f t="shared" si="13"/>
        <v>44</v>
      </c>
      <c r="B51" s="50" t="s">
        <v>38</v>
      </c>
      <c r="C51" s="3">
        <v>0</v>
      </c>
      <c r="D51" s="3">
        <v>1</v>
      </c>
      <c r="E51" s="3">
        <v>0</v>
      </c>
      <c r="F51" s="3">
        <v>1</v>
      </c>
      <c r="G51" s="47">
        <f>C51+D51</f>
        <v>1</v>
      </c>
      <c r="H51" s="47">
        <f>E51+F51</f>
        <v>1</v>
      </c>
      <c r="I51" s="4"/>
      <c r="J51" s="4"/>
      <c r="K51" s="2"/>
      <c r="L51" s="2"/>
      <c r="M51" s="47">
        <f>I51+J51</f>
        <v>0</v>
      </c>
      <c r="N51" s="47">
        <f>K51+L51</f>
        <v>0</v>
      </c>
      <c r="O51" s="5">
        <f aca="true" t="shared" si="14" ref="O51:T53">C51+I51</f>
        <v>0</v>
      </c>
      <c r="P51" s="5">
        <f t="shared" si="14"/>
        <v>1</v>
      </c>
      <c r="Q51" s="6">
        <f aca="true" t="shared" si="15" ref="Q51:R53">E51+K51</f>
        <v>0</v>
      </c>
      <c r="R51" s="6">
        <f t="shared" si="15"/>
        <v>1</v>
      </c>
      <c r="S51" s="48">
        <f t="shared" si="14"/>
        <v>1</v>
      </c>
      <c r="T51" s="48">
        <f t="shared" si="14"/>
        <v>1</v>
      </c>
      <c r="U51" s="9"/>
      <c r="V51" s="38">
        <v>50000</v>
      </c>
      <c r="W51" s="65">
        <f t="shared" si="12"/>
        <v>13.81</v>
      </c>
      <c r="X51" s="66">
        <f t="shared" si="1"/>
        <v>12.81</v>
      </c>
    </row>
    <row r="52" spans="1:24" ht="13.5" customHeight="1">
      <c r="A52" s="1">
        <f t="shared" si="13"/>
        <v>45</v>
      </c>
      <c r="B52" s="50" t="s">
        <v>46</v>
      </c>
      <c r="C52" s="3">
        <v>0.5</v>
      </c>
      <c r="D52" s="3">
        <v>0</v>
      </c>
      <c r="E52" s="3">
        <v>1</v>
      </c>
      <c r="F52" s="3">
        <v>0</v>
      </c>
      <c r="G52" s="47">
        <f>C52+D52</f>
        <v>0.5</v>
      </c>
      <c r="H52" s="47">
        <f>E52+F52</f>
        <v>1</v>
      </c>
      <c r="I52" s="4"/>
      <c r="J52" s="4"/>
      <c r="K52" s="2"/>
      <c r="L52" s="2"/>
      <c r="M52" s="47">
        <f>I52+J52</f>
        <v>0</v>
      </c>
      <c r="N52" s="47">
        <f>K52+L52</f>
        <v>0</v>
      </c>
      <c r="O52" s="5">
        <f t="shared" si="14"/>
        <v>0.5</v>
      </c>
      <c r="P52" s="5">
        <f t="shared" si="14"/>
        <v>0</v>
      </c>
      <c r="Q52" s="6">
        <f t="shared" si="15"/>
        <v>1</v>
      </c>
      <c r="R52" s="6">
        <f t="shared" si="15"/>
        <v>0</v>
      </c>
      <c r="S52" s="48">
        <f t="shared" si="14"/>
        <v>0.5</v>
      </c>
      <c r="T52" s="48">
        <f t="shared" si="14"/>
        <v>1</v>
      </c>
      <c r="U52" s="8"/>
      <c r="V52" s="38">
        <v>50000</v>
      </c>
      <c r="W52" s="65">
        <f t="shared" si="12"/>
        <v>13.81</v>
      </c>
      <c r="X52" s="66">
        <f t="shared" si="1"/>
        <v>13.31</v>
      </c>
    </row>
    <row r="53" spans="1:24" ht="13.5" customHeight="1">
      <c r="A53" s="1">
        <f t="shared" si="13"/>
        <v>46</v>
      </c>
      <c r="B53" s="50" t="s">
        <v>68</v>
      </c>
      <c r="C53" s="3">
        <v>1</v>
      </c>
      <c r="D53" s="3">
        <v>0</v>
      </c>
      <c r="E53" s="3">
        <v>2</v>
      </c>
      <c r="F53" s="3">
        <v>0</v>
      </c>
      <c r="G53" s="47">
        <f>C53+D53</f>
        <v>1</v>
      </c>
      <c r="H53" s="47">
        <f>E53+F53</f>
        <v>2</v>
      </c>
      <c r="I53" s="4"/>
      <c r="J53" s="4"/>
      <c r="K53" s="2"/>
      <c r="L53" s="2"/>
      <c r="M53" s="47">
        <f>I53+J53</f>
        <v>0</v>
      </c>
      <c r="N53" s="47">
        <f>K53+L53</f>
        <v>0</v>
      </c>
      <c r="O53" s="5">
        <f t="shared" si="14"/>
        <v>1</v>
      </c>
      <c r="P53" s="5">
        <f t="shared" si="14"/>
        <v>0</v>
      </c>
      <c r="Q53" s="6">
        <f t="shared" si="15"/>
        <v>2</v>
      </c>
      <c r="R53" s="6">
        <f t="shared" si="15"/>
        <v>0</v>
      </c>
      <c r="S53" s="48">
        <f t="shared" si="14"/>
        <v>1</v>
      </c>
      <c r="T53" s="48">
        <f t="shared" si="14"/>
        <v>2</v>
      </c>
      <c r="U53" s="10"/>
      <c r="V53" s="38">
        <v>50000</v>
      </c>
      <c r="W53" s="65">
        <f t="shared" si="12"/>
        <v>13.81</v>
      </c>
      <c r="X53" s="66">
        <f t="shared" si="1"/>
        <v>12.81</v>
      </c>
    </row>
    <row r="54" spans="1:24" ht="13.5" thickBot="1">
      <c r="A54" s="84"/>
      <c r="B54" s="85" t="s">
        <v>45</v>
      </c>
      <c r="C54" s="86">
        <f>SUM(C8:C53)</f>
        <v>204.75</v>
      </c>
      <c r="D54" s="86">
        <f aca="true" t="shared" si="16" ref="D54:T54">SUM(D8:D53)</f>
        <v>361.28</v>
      </c>
      <c r="E54" s="86">
        <f t="shared" si="16"/>
        <v>256</v>
      </c>
      <c r="F54" s="86">
        <f t="shared" si="16"/>
        <v>396</v>
      </c>
      <c r="G54" s="86">
        <f t="shared" si="16"/>
        <v>566.03</v>
      </c>
      <c r="H54" s="86">
        <f t="shared" si="16"/>
        <v>652</v>
      </c>
      <c r="I54" s="86">
        <f t="shared" si="16"/>
        <v>154.686</v>
      </c>
      <c r="J54" s="86">
        <f t="shared" si="16"/>
        <v>68.64414285714287</v>
      </c>
      <c r="K54" s="86">
        <f t="shared" si="16"/>
        <v>567</v>
      </c>
      <c r="L54" s="86">
        <f t="shared" si="16"/>
        <v>184</v>
      </c>
      <c r="M54" s="86">
        <f t="shared" si="16"/>
        <v>223.33014285714293</v>
      </c>
      <c r="N54" s="86">
        <f t="shared" si="16"/>
        <v>751</v>
      </c>
      <c r="O54" s="86">
        <f t="shared" si="16"/>
        <v>359.436</v>
      </c>
      <c r="P54" s="86">
        <f t="shared" si="16"/>
        <v>429.92414285714284</v>
      </c>
      <c r="Q54" s="86">
        <f t="shared" si="16"/>
        <v>823</v>
      </c>
      <c r="R54" s="86">
        <f t="shared" si="16"/>
        <v>580</v>
      </c>
      <c r="S54" s="86">
        <f t="shared" si="16"/>
        <v>789.3601428571428</v>
      </c>
      <c r="T54" s="86">
        <f t="shared" si="16"/>
        <v>1403</v>
      </c>
      <c r="U54" s="87"/>
      <c r="V54" s="88"/>
      <c r="W54" s="86">
        <f>SUM(W8:W50)</f>
        <v>1532.5699999999988</v>
      </c>
      <c r="X54" s="89">
        <f>SUM(X8:X53)</f>
        <v>784.6398571428571</v>
      </c>
    </row>
    <row r="55" spans="1:24" ht="13.5" thickBot="1">
      <c r="A55" s="11"/>
      <c r="B55" s="12" t="s">
        <v>77</v>
      </c>
      <c r="C55" s="13">
        <v>201</v>
      </c>
      <c r="D55" s="13">
        <v>338.28</v>
      </c>
      <c r="E55" s="13">
        <v>250</v>
      </c>
      <c r="F55" s="13">
        <v>386</v>
      </c>
      <c r="G55" s="13">
        <v>539.28</v>
      </c>
      <c r="H55" s="13">
        <v>636</v>
      </c>
      <c r="I55" s="13">
        <v>154.46600000000004</v>
      </c>
      <c r="J55" s="13">
        <v>63.047000000000004</v>
      </c>
      <c r="K55" s="13">
        <v>567</v>
      </c>
      <c r="L55" s="13">
        <v>178</v>
      </c>
      <c r="M55" s="13">
        <v>217.51300000000006</v>
      </c>
      <c r="N55" s="13">
        <v>745</v>
      </c>
      <c r="O55" s="13">
        <v>355.46599999999995</v>
      </c>
      <c r="P55" s="13">
        <v>401.327</v>
      </c>
      <c r="Q55" s="13">
        <v>817</v>
      </c>
      <c r="R55" s="13">
        <v>564</v>
      </c>
      <c r="S55" s="13">
        <v>756.7929999999999</v>
      </c>
      <c r="T55" s="13">
        <v>1381</v>
      </c>
      <c r="U55" s="14"/>
      <c r="V55" s="39"/>
      <c r="W55" s="13">
        <v>1532.5699999999988</v>
      </c>
      <c r="X55" s="13">
        <v>778.277</v>
      </c>
    </row>
    <row r="56" spans="1:24" ht="12.75">
      <c r="A56" s="67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0"/>
      <c r="W56" s="68"/>
      <c r="X56" s="68"/>
    </row>
    <row r="57" spans="1:20" ht="12.75" customHeight="1">
      <c r="A57" s="20"/>
      <c r="B57" s="73" t="s">
        <v>59</v>
      </c>
      <c r="C57" s="73"/>
      <c r="D57" s="73"/>
      <c r="E57" s="20"/>
      <c r="F57" s="20"/>
      <c r="G57" s="20"/>
      <c r="H57" s="20"/>
      <c r="I57" s="43" t="s">
        <v>65</v>
      </c>
      <c r="K57" s="41"/>
      <c r="L57" s="41"/>
      <c r="M57" s="41"/>
      <c r="T57" s="15" t="s">
        <v>61</v>
      </c>
    </row>
    <row r="58" spans="1:20" ht="12.75">
      <c r="A58" s="20"/>
      <c r="B58" s="20" t="s">
        <v>60</v>
      </c>
      <c r="C58" s="20"/>
      <c r="D58" s="20"/>
      <c r="E58" s="20"/>
      <c r="F58" s="20"/>
      <c r="G58" s="20"/>
      <c r="H58" s="20"/>
      <c r="K58" s="42" t="s">
        <v>66</v>
      </c>
      <c r="L58" s="42"/>
      <c r="M58" s="42"/>
      <c r="T58" s="44" t="s">
        <v>62</v>
      </c>
    </row>
    <row r="59" spans="9:23" ht="12.75" customHeight="1">
      <c r="I59" s="16"/>
      <c r="J59" s="16"/>
      <c r="S59" s="16"/>
      <c r="W59" s="16"/>
    </row>
    <row r="60" spans="9:23" ht="12.75">
      <c r="I60" s="16"/>
      <c r="J60" s="16"/>
      <c r="S60" s="16"/>
      <c r="W60" s="16"/>
    </row>
    <row r="61" spans="9:23" ht="12.75">
      <c r="I61" s="16"/>
      <c r="J61" s="16"/>
      <c r="S61" s="16"/>
      <c r="W61" s="16"/>
    </row>
    <row r="62" spans="1:8" ht="12.75">
      <c r="A62" s="20"/>
      <c r="B62" s="20"/>
      <c r="C62" s="20"/>
      <c r="D62" s="20"/>
      <c r="E62" s="33"/>
      <c r="F62" s="20"/>
      <c r="G62" s="20"/>
      <c r="H62" s="20"/>
    </row>
    <row r="63" spans="1:8" ht="12.75">
      <c r="A63" s="20"/>
      <c r="B63" s="20"/>
      <c r="C63" s="20"/>
      <c r="D63" s="20"/>
      <c r="E63" s="20"/>
      <c r="F63" s="20"/>
      <c r="G63" s="20"/>
      <c r="H63" s="20"/>
    </row>
    <row r="64" spans="1:19" ht="12.75">
      <c r="A64" s="20"/>
      <c r="I64" s="16"/>
      <c r="J64" s="16"/>
      <c r="S64" s="16"/>
    </row>
    <row r="65" spans="1:19" ht="12.75">
      <c r="A65" s="20"/>
      <c r="I65" s="16"/>
      <c r="J65" s="16"/>
      <c r="S65" s="16"/>
    </row>
    <row r="66" spans="1:8" ht="12.75">
      <c r="A66" s="20"/>
      <c r="B66" s="20"/>
      <c r="C66" s="20"/>
      <c r="D66" s="20"/>
      <c r="E66" s="20"/>
      <c r="F66" s="20"/>
      <c r="G66" s="20"/>
      <c r="H66" s="20"/>
    </row>
    <row r="67" spans="1:8" ht="12.75">
      <c r="A67" s="20"/>
      <c r="B67" s="20"/>
      <c r="C67" s="20"/>
      <c r="D67" s="20"/>
      <c r="E67" s="20"/>
      <c r="F67" s="20"/>
      <c r="G67" s="20"/>
      <c r="H67" s="20"/>
    </row>
    <row r="68" spans="1:8" ht="12.75">
      <c r="A68" s="20"/>
      <c r="B68" s="20"/>
      <c r="C68" s="20"/>
      <c r="D68" s="20"/>
      <c r="E68" s="20"/>
      <c r="F68" s="20"/>
      <c r="G68" s="20"/>
      <c r="H68" s="20"/>
    </row>
    <row r="69" spans="1:8" ht="12.75">
      <c r="A69" s="20"/>
      <c r="B69" s="20"/>
      <c r="C69" s="20"/>
      <c r="D69" s="20"/>
      <c r="E69" s="20"/>
      <c r="F69" s="20"/>
      <c r="G69" s="20"/>
      <c r="H69" s="20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2.75">
      <c r="A71" s="20"/>
      <c r="B71" s="20"/>
      <c r="C71" s="20"/>
      <c r="D71" s="20"/>
      <c r="E71" s="20"/>
      <c r="F71" s="20"/>
      <c r="G71" s="20"/>
      <c r="H71" s="20"/>
    </row>
    <row r="72" spans="1:8" ht="12.75">
      <c r="A72" s="20"/>
      <c r="B72" s="40"/>
      <c r="C72" s="20"/>
      <c r="D72" s="20"/>
      <c r="E72" s="20"/>
      <c r="F72" s="20"/>
      <c r="G72" s="20"/>
      <c r="H72" s="20"/>
    </row>
    <row r="73" spans="1:8" ht="12.75">
      <c r="A73" s="20"/>
      <c r="B73" s="34"/>
      <c r="C73" s="20"/>
      <c r="D73" s="20"/>
      <c r="E73" s="20"/>
      <c r="F73" s="20"/>
      <c r="G73" s="20"/>
      <c r="H73" s="20"/>
    </row>
    <row r="74" spans="1:8" ht="12.75">
      <c r="A74" s="20"/>
      <c r="B74" s="20"/>
      <c r="C74" s="20"/>
      <c r="D74" s="20"/>
      <c r="E74" s="20"/>
      <c r="F74" s="20"/>
      <c r="G74" s="20"/>
      <c r="H74" s="20"/>
    </row>
    <row r="75" spans="1:8" ht="12.75">
      <c r="A75" s="20"/>
      <c r="B75" s="20"/>
      <c r="C75" s="20"/>
      <c r="D75" s="20"/>
      <c r="E75" s="20"/>
      <c r="F75" s="20"/>
      <c r="G75" s="20"/>
      <c r="H75" s="20"/>
    </row>
    <row r="76" spans="1:8" ht="12.75">
      <c r="A76" s="20"/>
      <c r="B76" s="20"/>
      <c r="C76" s="20"/>
      <c r="D76" s="20"/>
      <c r="E76" s="20"/>
      <c r="F76" s="20"/>
      <c r="G76" s="20"/>
      <c r="H76" s="20"/>
    </row>
    <row r="77" spans="1:8" ht="12.75">
      <c r="A77" s="20"/>
      <c r="B77" s="20"/>
      <c r="C77" s="20"/>
      <c r="D77" s="20"/>
      <c r="E77" s="20"/>
      <c r="F77" s="20"/>
      <c r="G77" s="20"/>
      <c r="H77" s="20"/>
    </row>
    <row r="78" spans="1:8" ht="12.75">
      <c r="A78" s="20"/>
      <c r="B78" s="20"/>
      <c r="C78" s="20"/>
      <c r="D78" s="20"/>
      <c r="E78" s="20"/>
      <c r="F78" s="20"/>
      <c r="G78" s="20"/>
      <c r="H78" s="20"/>
    </row>
    <row r="79" spans="1:8" ht="12.75">
      <c r="A79" s="20"/>
      <c r="B79" s="20"/>
      <c r="C79" s="20"/>
      <c r="D79" s="20"/>
      <c r="E79" s="20"/>
      <c r="F79" s="20"/>
      <c r="G79" s="20"/>
      <c r="H79" s="20"/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>
      <c r="A81" s="20"/>
      <c r="B81" s="20"/>
      <c r="C81" s="20"/>
      <c r="D81" s="20"/>
      <c r="E81" s="20"/>
      <c r="F81" s="20"/>
      <c r="G81" s="20"/>
      <c r="H81" s="20"/>
    </row>
    <row r="82" spans="1:8" ht="12.75">
      <c r="A82" s="20"/>
      <c r="B82" s="20"/>
      <c r="C82" s="20"/>
      <c r="D82" s="20"/>
      <c r="E82" s="20"/>
      <c r="F82" s="20"/>
      <c r="G82" s="20"/>
      <c r="H82" s="20"/>
    </row>
    <row r="83" spans="1:8" ht="12.75">
      <c r="A83" s="20"/>
      <c r="B83" s="20"/>
      <c r="C83" s="20"/>
      <c r="D83" s="20"/>
      <c r="E83" s="20"/>
      <c r="F83" s="20"/>
      <c r="G83" s="20"/>
      <c r="H83" s="20"/>
    </row>
    <row r="84" spans="1:8" ht="12.75">
      <c r="A84" s="20"/>
      <c r="B84" s="20"/>
      <c r="C84" s="20"/>
      <c r="D84" s="20"/>
      <c r="E84" s="20"/>
      <c r="F84" s="20"/>
      <c r="G84" s="20"/>
      <c r="H84" s="20"/>
    </row>
    <row r="85" spans="1:8" ht="12.75">
      <c r="A85" s="20"/>
      <c r="B85" s="20"/>
      <c r="C85" s="20"/>
      <c r="D85" s="20"/>
      <c r="E85" s="20"/>
      <c r="F85" s="20"/>
      <c r="G85" s="20"/>
      <c r="H85" s="20"/>
    </row>
    <row r="86" spans="1:8" ht="12.75">
      <c r="A86" s="20"/>
      <c r="B86" s="20"/>
      <c r="C86" s="20"/>
      <c r="D86" s="20"/>
      <c r="E86" s="20"/>
      <c r="F86" s="20"/>
      <c r="G86" s="20"/>
      <c r="H86" s="20"/>
    </row>
    <row r="87" spans="1:8" ht="12.75">
      <c r="A87" s="20"/>
      <c r="B87" s="20"/>
      <c r="C87" s="20"/>
      <c r="D87" s="20"/>
      <c r="E87" s="20"/>
      <c r="F87" s="20"/>
      <c r="G87" s="20"/>
      <c r="H87" s="20"/>
    </row>
    <row r="88" spans="1:8" ht="12.75">
      <c r="A88" s="20"/>
      <c r="B88" s="20"/>
      <c r="C88" s="20"/>
      <c r="D88" s="20"/>
      <c r="E88" s="20"/>
      <c r="F88" s="20"/>
      <c r="G88" s="20"/>
      <c r="H88" s="20"/>
    </row>
    <row r="89" spans="1:8" ht="12.75">
      <c r="A89" s="20"/>
      <c r="B89" s="20"/>
      <c r="C89" s="20"/>
      <c r="D89" s="20"/>
      <c r="E89" s="20"/>
      <c r="F89" s="20"/>
      <c r="G89" s="20"/>
      <c r="H89" s="20"/>
    </row>
    <row r="90" spans="1:8" ht="12.75">
      <c r="A90" s="20"/>
      <c r="B90" s="20"/>
      <c r="C90" s="20"/>
      <c r="D90" s="20"/>
      <c r="E90" s="20"/>
      <c r="F90" s="20"/>
      <c r="G90" s="20"/>
      <c r="H90" s="20"/>
    </row>
    <row r="91" spans="1:8" ht="12.75">
      <c r="A91" s="20"/>
      <c r="B91" s="20"/>
      <c r="C91" s="20"/>
      <c r="D91" s="20"/>
      <c r="E91" s="20"/>
      <c r="F91" s="20"/>
      <c r="G91" s="20"/>
      <c r="H91" s="20"/>
    </row>
    <row r="92" spans="1:8" ht="12.75">
      <c r="A92" s="20"/>
      <c r="B92" s="20"/>
      <c r="C92" s="20"/>
      <c r="D92" s="20"/>
      <c r="E92" s="20"/>
      <c r="F92" s="20"/>
      <c r="G92" s="20"/>
      <c r="H92" s="20"/>
    </row>
    <row r="93" spans="1:8" ht="12.75">
      <c r="A93" s="20"/>
      <c r="B93" s="20"/>
      <c r="C93" s="20"/>
      <c r="D93" s="20"/>
      <c r="E93" s="20"/>
      <c r="F93" s="20"/>
      <c r="G93" s="20"/>
      <c r="H93" s="20"/>
    </row>
    <row r="94" spans="1:8" ht="12.75">
      <c r="A94" s="20"/>
      <c r="B94" s="20"/>
      <c r="C94" s="20"/>
      <c r="D94" s="20"/>
      <c r="E94" s="20"/>
      <c r="F94" s="20"/>
      <c r="G94" s="20"/>
      <c r="H94" s="20"/>
    </row>
    <row r="95" spans="1:8" ht="12.75">
      <c r="A95" s="20"/>
      <c r="B95" s="20"/>
      <c r="C95" s="20"/>
      <c r="D95" s="20"/>
      <c r="E95" s="20"/>
      <c r="F95" s="20"/>
      <c r="G95" s="20"/>
      <c r="H95" s="20"/>
    </row>
    <row r="96" spans="1:8" ht="12.75">
      <c r="A96" s="20"/>
      <c r="B96" s="20"/>
      <c r="C96" s="20"/>
      <c r="D96" s="20"/>
      <c r="E96" s="20"/>
      <c r="F96" s="20"/>
      <c r="G96" s="20"/>
      <c r="H96" s="20"/>
    </row>
    <row r="97" spans="1:8" ht="12.75">
      <c r="A97" s="20"/>
      <c r="B97" s="20"/>
      <c r="C97" s="20"/>
      <c r="D97" s="20"/>
      <c r="E97" s="20"/>
      <c r="F97" s="20"/>
      <c r="G97" s="20"/>
      <c r="H97" s="20"/>
    </row>
    <row r="98" spans="1:8" ht="12.75">
      <c r="A98" s="20"/>
      <c r="B98" s="20"/>
      <c r="C98" s="20"/>
      <c r="D98" s="20"/>
      <c r="E98" s="20"/>
      <c r="F98" s="20"/>
      <c r="G98" s="20"/>
      <c r="H98" s="20"/>
    </row>
    <row r="99" spans="1:8" ht="12.75">
      <c r="A99" s="20"/>
      <c r="B99" s="20"/>
      <c r="C99" s="20"/>
      <c r="D99" s="20"/>
      <c r="E99" s="20"/>
      <c r="F99" s="20"/>
      <c r="G99" s="20"/>
      <c r="H99" s="20"/>
    </row>
    <row r="100" spans="1:8" ht="12.75">
      <c r="A100" s="20"/>
      <c r="B100" s="20"/>
      <c r="C100" s="20"/>
      <c r="D100" s="20"/>
      <c r="E100" s="20"/>
      <c r="F100" s="20"/>
      <c r="G100" s="20"/>
      <c r="H100" s="20"/>
    </row>
    <row r="101" spans="1:8" ht="12.75">
      <c r="A101" s="20"/>
      <c r="B101" s="20"/>
      <c r="C101" s="20"/>
      <c r="D101" s="20"/>
      <c r="E101" s="20"/>
      <c r="F101" s="20"/>
      <c r="G101" s="20"/>
      <c r="H101" s="20"/>
    </row>
    <row r="102" spans="1:8" ht="12.75">
      <c r="A102" s="20"/>
      <c r="B102" s="20"/>
      <c r="C102" s="20"/>
      <c r="D102" s="20"/>
      <c r="E102" s="20"/>
      <c r="F102" s="20"/>
      <c r="G102" s="20"/>
      <c r="H102" s="20"/>
    </row>
    <row r="103" spans="1:8" ht="12.75">
      <c r="A103" s="20"/>
      <c r="B103" s="20"/>
      <c r="C103" s="20"/>
      <c r="D103" s="20"/>
      <c r="E103" s="20"/>
      <c r="F103" s="20"/>
      <c r="G103" s="20"/>
      <c r="H103" s="20"/>
    </row>
    <row r="104" spans="1:8" ht="12.75">
      <c r="A104" s="20"/>
      <c r="B104" s="20"/>
      <c r="C104" s="20"/>
      <c r="D104" s="20"/>
      <c r="E104" s="20"/>
      <c r="F104" s="20"/>
      <c r="G104" s="20"/>
      <c r="H104" s="20"/>
    </row>
    <row r="105" spans="1:8" ht="12.75">
      <c r="A105" s="20"/>
      <c r="B105" s="20"/>
      <c r="C105" s="20"/>
      <c r="D105" s="20"/>
      <c r="E105" s="20"/>
      <c r="F105" s="20"/>
      <c r="G105" s="20"/>
      <c r="H105" s="20"/>
    </row>
    <row r="106" spans="1:8" ht="12.75">
      <c r="A106" s="20"/>
      <c r="B106" s="20"/>
      <c r="C106" s="20"/>
      <c r="D106" s="20"/>
      <c r="E106" s="20"/>
      <c r="F106" s="20"/>
      <c r="G106" s="20"/>
      <c r="H106" s="20"/>
    </row>
    <row r="107" spans="1:8" ht="12.75">
      <c r="A107" s="20"/>
      <c r="B107" s="20"/>
      <c r="C107" s="20"/>
      <c r="D107" s="20"/>
      <c r="E107" s="20"/>
      <c r="F107" s="20"/>
      <c r="G107" s="20"/>
      <c r="H107" s="20"/>
    </row>
    <row r="108" spans="1:8" ht="12.75">
      <c r="A108" s="20"/>
      <c r="B108" s="20"/>
      <c r="C108" s="20"/>
      <c r="D108" s="20"/>
      <c r="E108" s="20"/>
      <c r="F108" s="20"/>
      <c r="G108" s="20"/>
      <c r="H108" s="20"/>
    </row>
    <row r="109" spans="1:8" ht="12.75">
      <c r="A109" s="20"/>
      <c r="B109" s="20"/>
      <c r="C109" s="20"/>
      <c r="D109" s="20"/>
      <c r="E109" s="20"/>
      <c r="F109" s="20"/>
      <c r="G109" s="20"/>
      <c r="H109" s="20"/>
    </row>
    <row r="110" spans="1:8" ht="12.75">
      <c r="A110" s="20"/>
      <c r="B110" s="20"/>
      <c r="C110" s="20"/>
      <c r="D110" s="20"/>
      <c r="E110" s="20"/>
      <c r="F110" s="20"/>
      <c r="G110" s="20"/>
      <c r="H110" s="20"/>
    </row>
    <row r="111" spans="1:8" ht="12.75">
      <c r="A111" s="20"/>
      <c r="B111" s="20"/>
      <c r="C111" s="20"/>
      <c r="D111" s="20"/>
      <c r="E111" s="20"/>
      <c r="F111" s="20"/>
      <c r="G111" s="20"/>
      <c r="H111" s="20"/>
    </row>
    <row r="112" spans="1:8" ht="12.75">
      <c r="A112" s="20"/>
      <c r="B112" s="19"/>
      <c r="C112" s="20"/>
      <c r="D112" s="20"/>
      <c r="E112" s="20"/>
      <c r="F112" s="20"/>
      <c r="G112" s="20"/>
      <c r="H112" s="20"/>
    </row>
    <row r="113" spans="1:8" ht="12.75">
      <c r="A113" s="20"/>
      <c r="B113" s="19"/>
      <c r="C113" s="20"/>
      <c r="D113" s="20"/>
      <c r="E113" s="20"/>
      <c r="F113" s="20"/>
      <c r="G113" s="20"/>
      <c r="H113" s="20"/>
    </row>
    <row r="114" spans="1:8" ht="12.75">
      <c r="A114" s="20"/>
      <c r="B114" s="19"/>
      <c r="C114" s="20"/>
      <c r="D114" s="20"/>
      <c r="E114" s="20"/>
      <c r="F114" s="20"/>
      <c r="G114" s="20"/>
      <c r="H114" s="20"/>
    </row>
    <row r="115" spans="1:8" ht="12.75">
      <c r="A115" s="20"/>
      <c r="B115" s="19"/>
      <c r="C115" s="20"/>
      <c r="D115" s="20"/>
      <c r="E115" s="20"/>
      <c r="F115" s="20"/>
      <c r="G115" s="20"/>
      <c r="H115" s="20"/>
    </row>
    <row r="116" spans="1:8" ht="12.75">
      <c r="A116" s="20"/>
      <c r="B116" s="19"/>
      <c r="C116" s="20"/>
      <c r="D116" s="20"/>
      <c r="E116" s="20"/>
      <c r="F116" s="20"/>
      <c r="G116" s="20"/>
      <c r="H116" s="20"/>
    </row>
    <row r="117" spans="1:8" ht="12.75">
      <c r="A117" s="20"/>
      <c r="B117" s="19"/>
      <c r="C117" s="20"/>
      <c r="D117" s="20"/>
      <c r="E117" s="20"/>
      <c r="F117" s="20"/>
      <c r="G117" s="20"/>
      <c r="H117" s="20"/>
    </row>
    <row r="118" spans="1:8" ht="12.75">
      <c r="A118" s="20"/>
      <c r="B118" s="19"/>
      <c r="C118" s="20"/>
      <c r="D118" s="20"/>
      <c r="E118" s="20"/>
      <c r="F118" s="20"/>
      <c r="G118" s="20"/>
      <c r="H118" s="20"/>
    </row>
    <row r="119" spans="1:8" ht="12.75">
      <c r="A119" s="20"/>
      <c r="B119" s="19"/>
      <c r="C119" s="20"/>
      <c r="D119" s="20"/>
      <c r="E119" s="20"/>
      <c r="F119" s="20"/>
      <c r="G119" s="20"/>
      <c r="H119" s="20"/>
    </row>
    <row r="120" spans="1:8" ht="12.75">
      <c r="A120" s="20"/>
      <c r="B120" s="20"/>
      <c r="C120" s="20"/>
      <c r="D120" s="20"/>
      <c r="E120" s="20"/>
      <c r="F120" s="20"/>
      <c r="G120" s="20"/>
      <c r="H120" s="20"/>
    </row>
    <row r="121" spans="1:8" ht="12.75">
      <c r="A121" s="20"/>
      <c r="B121" s="35"/>
      <c r="C121" s="20"/>
      <c r="D121" s="20"/>
      <c r="E121" s="20"/>
      <c r="F121" s="20"/>
      <c r="G121" s="20"/>
      <c r="H121" s="20"/>
    </row>
  </sheetData>
  <sheetProtection/>
  <mergeCells count="7">
    <mergeCell ref="X6:X7"/>
    <mergeCell ref="B57:D57"/>
    <mergeCell ref="A4:W4"/>
    <mergeCell ref="C6:H6"/>
    <mergeCell ref="I6:N6"/>
    <mergeCell ref="O6:T6"/>
    <mergeCell ref="W6:W7"/>
  </mergeCells>
  <printOptions horizontalCentered="1" verticalCentered="1"/>
  <pageMargins left="0.2" right="0.2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4"/>
  <sheetViews>
    <sheetView zoomScalePageLayoutView="0" workbookViewId="0" topLeftCell="A1">
      <selection activeCell="F1" sqref="F1:G1"/>
    </sheetView>
  </sheetViews>
  <sheetFormatPr defaultColWidth="9.140625" defaultRowHeight="12.75"/>
  <cols>
    <col min="6" max="7" width="9.140625" style="56" customWidth="1"/>
  </cols>
  <sheetData>
    <row r="1" spans="1:50" s="58" customFormat="1" ht="102">
      <c r="A1" s="63" t="s">
        <v>69</v>
      </c>
      <c r="B1" s="63" t="s">
        <v>70</v>
      </c>
      <c r="C1" s="80" t="s">
        <v>1</v>
      </c>
      <c r="D1" s="81"/>
      <c r="E1" s="63" t="s">
        <v>71</v>
      </c>
      <c r="F1" s="82" t="s">
        <v>72</v>
      </c>
      <c r="G1" s="83"/>
      <c r="H1" s="59" t="s">
        <v>2</v>
      </c>
      <c r="I1" s="2" t="s">
        <v>3</v>
      </c>
      <c r="J1" s="2" t="s">
        <v>4</v>
      </c>
      <c r="K1" s="2" t="s">
        <v>26</v>
      </c>
      <c r="L1" s="2" t="s">
        <v>5</v>
      </c>
      <c r="M1" s="2" t="s">
        <v>6</v>
      </c>
      <c r="N1" s="2" t="s">
        <v>27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28</v>
      </c>
      <c r="U1" s="2" t="s">
        <v>12</v>
      </c>
      <c r="V1" s="2" t="s">
        <v>29</v>
      </c>
      <c r="W1" s="2" t="s">
        <v>30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31</v>
      </c>
      <c r="AC1" s="2" t="s">
        <v>17</v>
      </c>
      <c r="AD1" s="2" t="s">
        <v>18</v>
      </c>
      <c r="AE1" s="2" t="s">
        <v>32</v>
      </c>
      <c r="AF1" s="2" t="s">
        <v>19</v>
      </c>
      <c r="AG1" s="2" t="s">
        <v>33</v>
      </c>
      <c r="AH1" s="2" t="s">
        <v>34</v>
      </c>
      <c r="AI1" s="2" t="s">
        <v>20</v>
      </c>
      <c r="AJ1" s="2" t="s">
        <v>21</v>
      </c>
      <c r="AK1" s="2" t="s">
        <v>35</v>
      </c>
      <c r="AL1" s="2" t="s">
        <v>36</v>
      </c>
      <c r="AM1" s="2" t="s">
        <v>22</v>
      </c>
      <c r="AN1" s="2" t="s">
        <v>23</v>
      </c>
      <c r="AO1" s="2" t="s">
        <v>24</v>
      </c>
      <c r="AP1" s="2" t="s">
        <v>37</v>
      </c>
      <c r="AQ1" s="2" t="s">
        <v>39</v>
      </c>
      <c r="AR1" s="2" t="s">
        <v>25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64</v>
      </c>
    </row>
    <row r="2" spans="1:50" s="58" customFormat="1" ht="12.75">
      <c r="A2" s="62"/>
      <c r="B2" s="62"/>
      <c r="C2" s="63" t="s">
        <v>74</v>
      </c>
      <c r="D2" s="63" t="s">
        <v>73</v>
      </c>
      <c r="E2" s="62"/>
      <c r="F2" s="64" t="s">
        <v>74</v>
      </c>
      <c r="G2" s="64" t="s">
        <v>73</v>
      </c>
      <c r="H2" s="60">
        <v>1</v>
      </c>
      <c r="I2" s="57">
        <v>2</v>
      </c>
      <c r="J2" s="57">
        <v>3</v>
      </c>
      <c r="K2" s="57">
        <v>4</v>
      </c>
      <c r="L2" s="57">
        <v>5</v>
      </c>
      <c r="M2" s="57">
        <v>6</v>
      </c>
      <c r="N2" s="57">
        <v>7</v>
      </c>
      <c r="O2" s="57">
        <v>8</v>
      </c>
      <c r="P2" s="57">
        <v>9</v>
      </c>
      <c r="Q2" s="57">
        <v>10</v>
      </c>
      <c r="R2" s="57">
        <v>11</v>
      </c>
      <c r="S2" s="57">
        <v>12</v>
      </c>
      <c r="T2" s="57">
        <v>13</v>
      </c>
      <c r="U2" s="57">
        <v>14</v>
      </c>
      <c r="V2" s="57">
        <v>15</v>
      </c>
      <c r="W2" s="57">
        <v>16</v>
      </c>
      <c r="X2" s="57">
        <v>17</v>
      </c>
      <c r="Y2" s="57">
        <v>18</v>
      </c>
      <c r="Z2" s="57">
        <v>19</v>
      </c>
      <c r="AA2" s="57">
        <v>20</v>
      </c>
      <c r="AB2" s="57">
        <v>21</v>
      </c>
      <c r="AC2" s="57">
        <v>22</v>
      </c>
      <c r="AD2" s="57">
        <v>23</v>
      </c>
      <c r="AE2" s="57">
        <v>24</v>
      </c>
      <c r="AF2" s="57">
        <v>25</v>
      </c>
      <c r="AG2" s="57">
        <v>26</v>
      </c>
      <c r="AH2" s="57">
        <v>27</v>
      </c>
      <c r="AI2" s="57">
        <v>28</v>
      </c>
      <c r="AJ2" s="57">
        <v>29</v>
      </c>
      <c r="AK2" s="57">
        <v>30</v>
      </c>
      <c r="AL2" s="57">
        <v>31</v>
      </c>
      <c r="AM2" s="57">
        <v>32</v>
      </c>
      <c r="AN2" s="57">
        <v>33</v>
      </c>
      <c r="AO2" s="57">
        <v>34</v>
      </c>
      <c r="AP2" s="57">
        <v>35</v>
      </c>
      <c r="AQ2" s="57">
        <v>36</v>
      </c>
      <c r="AR2" s="57">
        <v>37</v>
      </c>
      <c r="AS2" s="57">
        <v>38</v>
      </c>
      <c r="AT2" s="57">
        <v>39</v>
      </c>
      <c r="AU2" s="57">
        <v>40</v>
      </c>
      <c r="AV2" s="57">
        <v>41</v>
      </c>
      <c r="AW2" s="57">
        <v>42</v>
      </c>
      <c r="AX2" s="57">
        <v>43</v>
      </c>
    </row>
    <row r="3" spans="1:7" ht="12.75">
      <c r="A3" s="55"/>
      <c r="B3" s="55"/>
      <c r="C3" s="55"/>
      <c r="D3" s="55"/>
      <c r="E3" s="55"/>
      <c r="F3" s="61">
        <f>+E3/35</f>
        <v>0</v>
      </c>
      <c r="G3" s="61">
        <f>+E3/35</f>
        <v>0</v>
      </c>
    </row>
    <row r="4" spans="6:7" ht="12.75">
      <c r="F4" s="61">
        <f aca="true" t="shared" si="0" ref="F4:F34">+E4/35</f>
        <v>0</v>
      </c>
      <c r="G4" s="61">
        <f aca="true" t="shared" si="1" ref="G4:G34">+E4/35</f>
        <v>0</v>
      </c>
    </row>
    <row r="5" spans="6:7" ht="12.75">
      <c r="F5" s="61">
        <f t="shared" si="0"/>
        <v>0</v>
      </c>
      <c r="G5" s="61">
        <f t="shared" si="1"/>
        <v>0</v>
      </c>
    </row>
    <row r="6" spans="6:7" ht="12.75">
      <c r="F6" s="61">
        <f t="shared" si="0"/>
        <v>0</v>
      </c>
      <c r="G6" s="61">
        <f t="shared" si="1"/>
        <v>0</v>
      </c>
    </row>
    <row r="7" spans="6:7" ht="12.75">
      <c r="F7" s="61">
        <f t="shared" si="0"/>
        <v>0</v>
      </c>
      <c r="G7" s="61">
        <f t="shared" si="1"/>
        <v>0</v>
      </c>
    </row>
    <row r="8" spans="6:7" ht="12.75">
      <c r="F8" s="61">
        <f t="shared" si="0"/>
        <v>0</v>
      </c>
      <c r="G8" s="61">
        <f t="shared" si="1"/>
        <v>0</v>
      </c>
    </row>
    <row r="9" spans="6:7" ht="12.75">
      <c r="F9" s="61">
        <f t="shared" si="0"/>
        <v>0</v>
      </c>
      <c r="G9" s="61">
        <f t="shared" si="1"/>
        <v>0</v>
      </c>
    </row>
    <row r="10" spans="6:7" ht="12.75">
      <c r="F10" s="61">
        <f t="shared" si="0"/>
        <v>0</v>
      </c>
      <c r="G10" s="61">
        <f t="shared" si="1"/>
        <v>0</v>
      </c>
    </row>
    <row r="11" spans="6:7" ht="12.75">
      <c r="F11" s="61">
        <f t="shared" si="0"/>
        <v>0</v>
      </c>
      <c r="G11" s="61">
        <f t="shared" si="1"/>
        <v>0</v>
      </c>
    </row>
    <row r="12" spans="6:7" ht="12.75">
      <c r="F12" s="61">
        <f t="shared" si="0"/>
        <v>0</v>
      </c>
      <c r="G12" s="61">
        <f t="shared" si="1"/>
        <v>0</v>
      </c>
    </row>
    <row r="13" spans="6:7" ht="12.75">
      <c r="F13" s="61">
        <f t="shared" si="0"/>
        <v>0</v>
      </c>
      <c r="G13" s="61">
        <f t="shared" si="1"/>
        <v>0</v>
      </c>
    </row>
    <row r="14" spans="6:7" ht="12.75">
      <c r="F14" s="61">
        <f t="shared" si="0"/>
        <v>0</v>
      </c>
      <c r="G14" s="61">
        <f t="shared" si="1"/>
        <v>0</v>
      </c>
    </row>
    <row r="15" spans="6:7" ht="12.75">
      <c r="F15" s="61">
        <f t="shared" si="0"/>
        <v>0</v>
      </c>
      <c r="G15" s="61">
        <f t="shared" si="1"/>
        <v>0</v>
      </c>
    </row>
    <row r="16" spans="6:7" ht="12.75">
      <c r="F16" s="61">
        <f t="shared" si="0"/>
        <v>0</v>
      </c>
      <c r="G16" s="61">
        <f t="shared" si="1"/>
        <v>0</v>
      </c>
    </row>
    <row r="17" spans="6:7" ht="12.75">
      <c r="F17" s="61">
        <f t="shared" si="0"/>
        <v>0</v>
      </c>
      <c r="G17" s="61">
        <f t="shared" si="1"/>
        <v>0</v>
      </c>
    </row>
    <row r="18" spans="6:7" ht="12.75">
      <c r="F18" s="61">
        <f t="shared" si="0"/>
        <v>0</v>
      </c>
      <c r="G18" s="61">
        <f t="shared" si="1"/>
        <v>0</v>
      </c>
    </row>
    <row r="19" spans="6:7" ht="12.75">
      <c r="F19" s="61">
        <f t="shared" si="0"/>
        <v>0</v>
      </c>
      <c r="G19" s="61">
        <f t="shared" si="1"/>
        <v>0</v>
      </c>
    </row>
    <row r="20" spans="6:7" ht="12.75">
      <c r="F20" s="61">
        <f t="shared" si="0"/>
        <v>0</v>
      </c>
      <c r="G20" s="61">
        <f t="shared" si="1"/>
        <v>0</v>
      </c>
    </row>
    <row r="21" spans="6:7" ht="12.75">
      <c r="F21" s="61">
        <f t="shared" si="0"/>
        <v>0</v>
      </c>
      <c r="G21" s="61">
        <f t="shared" si="1"/>
        <v>0</v>
      </c>
    </row>
    <row r="22" spans="6:7" ht="12.75">
      <c r="F22" s="61">
        <f t="shared" si="0"/>
        <v>0</v>
      </c>
      <c r="G22" s="61">
        <f t="shared" si="1"/>
        <v>0</v>
      </c>
    </row>
    <row r="23" spans="6:7" ht="12.75">
      <c r="F23" s="61">
        <f t="shared" si="0"/>
        <v>0</v>
      </c>
      <c r="G23" s="61">
        <f t="shared" si="1"/>
        <v>0</v>
      </c>
    </row>
    <row r="24" spans="6:7" ht="12.75">
      <c r="F24" s="61">
        <f t="shared" si="0"/>
        <v>0</v>
      </c>
      <c r="G24" s="61">
        <f t="shared" si="1"/>
        <v>0</v>
      </c>
    </row>
    <row r="25" spans="6:7" ht="12.75">
      <c r="F25" s="61">
        <f t="shared" si="0"/>
        <v>0</v>
      </c>
      <c r="G25" s="61">
        <f t="shared" si="1"/>
        <v>0</v>
      </c>
    </row>
    <row r="26" spans="6:7" ht="12.75">
      <c r="F26" s="61">
        <f t="shared" si="0"/>
        <v>0</v>
      </c>
      <c r="G26" s="61">
        <f t="shared" si="1"/>
        <v>0</v>
      </c>
    </row>
    <row r="27" spans="6:7" ht="12.75">
      <c r="F27" s="61">
        <f t="shared" si="0"/>
        <v>0</v>
      </c>
      <c r="G27" s="61">
        <f t="shared" si="1"/>
        <v>0</v>
      </c>
    </row>
    <row r="28" spans="6:7" ht="12.75">
      <c r="F28" s="61">
        <f t="shared" si="0"/>
        <v>0</v>
      </c>
      <c r="G28" s="61">
        <f t="shared" si="1"/>
        <v>0</v>
      </c>
    </row>
    <row r="29" spans="6:7" ht="12.75">
      <c r="F29" s="61">
        <f t="shared" si="0"/>
        <v>0</v>
      </c>
      <c r="G29" s="61">
        <f t="shared" si="1"/>
        <v>0</v>
      </c>
    </row>
    <row r="30" spans="6:7" ht="12.75">
      <c r="F30" s="61">
        <f t="shared" si="0"/>
        <v>0</v>
      </c>
      <c r="G30" s="61">
        <f t="shared" si="1"/>
        <v>0</v>
      </c>
    </row>
    <row r="31" spans="6:7" ht="12.75">
      <c r="F31" s="61">
        <f t="shared" si="0"/>
        <v>0</v>
      </c>
      <c r="G31" s="61">
        <f t="shared" si="1"/>
        <v>0</v>
      </c>
    </row>
    <row r="32" spans="6:7" ht="12.75">
      <c r="F32" s="61">
        <f t="shared" si="0"/>
        <v>0</v>
      </c>
      <c r="G32" s="61">
        <f t="shared" si="1"/>
        <v>0</v>
      </c>
    </row>
    <row r="33" spans="6:7" ht="12.75">
      <c r="F33" s="61">
        <f t="shared" si="0"/>
        <v>0</v>
      </c>
      <c r="G33" s="61">
        <f t="shared" si="1"/>
        <v>0</v>
      </c>
    </row>
    <row r="34" spans="6:7" ht="12.75">
      <c r="F34" s="61">
        <f t="shared" si="0"/>
        <v>0</v>
      </c>
      <c r="G34" s="61">
        <f t="shared" si="1"/>
        <v>0</v>
      </c>
    </row>
  </sheetData>
  <sheetProtection/>
  <mergeCells count="2">
    <mergeCell ref="C1:D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isabela.kasal</dc:creator>
  <cp:keywords/>
  <dc:description/>
  <cp:lastModifiedBy>sabina butnaru</cp:lastModifiedBy>
  <cp:lastPrinted>2024-04-18T10:11:40Z</cp:lastPrinted>
  <dcterms:created xsi:type="dcterms:W3CDTF">2019-07-12T08:32:51Z</dcterms:created>
  <dcterms:modified xsi:type="dcterms:W3CDTF">2024-04-18T10:11:47Z</dcterms:modified>
  <cp:category/>
  <cp:version/>
  <cp:contentType/>
  <cp:contentStatus/>
</cp:coreProperties>
</file>